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11970" windowHeight="11010" activeTab="0"/>
  </bookViews>
  <sheets>
    <sheet name="Contact Page" sheetId="1" r:id="rId1"/>
    <sheet name="Input Page" sheetId="2" r:id="rId2"/>
    <sheet name=" NDM (AMF)" sheetId="3" r:id="rId3"/>
    <sheet name=" NDM (cream &amp; butter)" sheetId="4" r:id="rId4"/>
    <sheet name="SMP (AMF)" sheetId="5" r:id="rId5"/>
    <sheet name="SMP (cream &amp; butter)" sheetId="6" r:id="rId6"/>
    <sheet name="WMP (AMF)" sheetId="7" r:id="rId7"/>
    <sheet name="WMP (cream &amp; butter)" sheetId="8" r:id="rId8"/>
  </sheets>
  <definedNames/>
  <calcPr fullCalcOnLoad="1"/>
</workbook>
</file>

<file path=xl/sharedStrings.xml><?xml version="1.0" encoding="utf-8"?>
<sst xmlns="http://schemas.openxmlformats.org/spreadsheetml/2006/main" count="769" uniqueCount="114">
  <si>
    <t>Crude Protein (true protein + 0.19%)</t>
  </si>
  <si>
    <t>Cream composition</t>
  </si>
  <si>
    <t>Butterfat (%)</t>
  </si>
  <si>
    <t>Milk composition</t>
  </si>
  <si>
    <t>% fat</t>
  </si>
  <si>
    <t>Pounds butterfat</t>
  </si>
  <si>
    <t>Pounds cream</t>
  </si>
  <si>
    <t>Pounds true protein</t>
  </si>
  <si>
    <t>Pounds crude protein</t>
  </si>
  <si>
    <t>Pounds of producer milk</t>
  </si>
  <si>
    <t>Whole Milk Powder Production</t>
  </si>
  <si>
    <t>Pounds WMP to be produced from available crude protein</t>
  </si>
  <si>
    <t>Lactose/permeate to be added</t>
  </si>
  <si>
    <t>pounds WMP</t>
  </si>
  <si>
    <t>Fat-to-protein ratio</t>
  </si>
  <si>
    <t>WMP composition (calculation check)</t>
  </si>
  <si>
    <t>Income Statement</t>
  </si>
  <si>
    <t>Source</t>
  </si>
  <si>
    <t>WMP</t>
  </si>
  <si>
    <t>Pounds</t>
  </si>
  <si>
    <t>Price</t>
  </si>
  <si>
    <t>Total</t>
  </si>
  <si>
    <t>Cream</t>
  </si>
  <si>
    <t>Revenue</t>
  </si>
  <si>
    <t>Expenses</t>
  </si>
  <si>
    <t>Class IV Fat</t>
  </si>
  <si>
    <t>Lactose</t>
  </si>
  <si>
    <t>Net</t>
  </si>
  <si>
    <t>Excess butterfat (to achieve fat-to-protein ratio)</t>
  </si>
  <si>
    <t>Total solids</t>
  </si>
  <si>
    <t>Milk after excess cream removal</t>
  </si>
  <si>
    <t>Cream produced from excess fat</t>
  </si>
  <si>
    <t>Input Variables for NDM, SMP and WMP</t>
  </si>
  <si>
    <t>% butterfat</t>
  </si>
  <si>
    <t>% butterfat WMP</t>
  </si>
  <si>
    <t>fat-to-protein ratio (WMP)</t>
  </si>
  <si>
    <t>NDM</t>
  </si>
  <si>
    <t>Prices ($/lb.)</t>
  </si>
  <si>
    <t>SMP</t>
  </si>
  <si>
    <t>Class IV NFS</t>
  </si>
  <si>
    <t>Class IV butterfat</t>
  </si>
  <si>
    <t>Cream multiple</t>
  </si>
  <si>
    <t>AMF Multiple</t>
  </si>
  <si>
    <t>butterfat (lbs./ cwt.)</t>
  </si>
  <si>
    <t>true protein (lbs./cwt.)</t>
  </si>
  <si>
    <t>other solids (lbs./cwt.)</t>
  </si>
  <si>
    <t>(enter "L" or "P")</t>
  </si>
  <si>
    <t>L</t>
  </si>
  <si>
    <t>Lactose/Permeate</t>
  </si>
  <si>
    <t>Pounds NDM to be produced from available NFS</t>
  </si>
  <si>
    <t>% butterfat in skim</t>
  </si>
  <si>
    <t>NFD composition (calculation check)</t>
  </si>
  <si>
    <t>NFD</t>
  </si>
  <si>
    <t>pounds NDM</t>
  </si>
  <si>
    <t xml:space="preserve">% crude protein </t>
  </si>
  <si>
    <t>AMF composition</t>
  </si>
  <si>
    <t>Pounds AMF</t>
  </si>
  <si>
    <t>AMF</t>
  </si>
  <si>
    <t>AMF produced from excess fat</t>
  </si>
  <si>
    <t>(enter "L" or "P" for lactose or permeate)</t>
  </si>
  <si>
    <t>Crude protein % (SMP)</t>
  </si>
  <si>
    <t>pounds SMP</t>
  </si>
  <si>
    <t>Skim Milk Powder Production</t>
  </si>
  <si>
    <t>SMP composition (calculation check)</t>
  </si>
  <si>
    <t>Lactose/permeate</t>
  </si>
  <si>
    <t xml:space="preserve">Pounds of producer milk </t>
  </si>
  <si>
    <t xml:space="preserve">Butterfat </t>
  </si>
  <si>
    <t xml:space="preserve">True Protein </t>
  </si>
  <si>
    <t xml:space="preserve">Other Solids </t>
  </si>
  <si>
    <t>Pounds SMP to be produced from available crude protein</t>
  </si>
  <si>
    <t>Lactose/permeate to be added*</t>
  </si>
  <si>
    <t>*(enter "L" or "P")</t>
  </si>
  <si>
    <t>Nonfat Dry Milk &amp; Anhydrous Milkfat</t>
  </si>
  <si>
    <t>% moisture (NDM, SMP, WMP)</t>
  </si>
  <si>
    <t>% NFS (NDM, SMP)</t>
  </si>
  <si>
    <t>% butterfat (NDM, SMP)</t>
  </si>
  <si>
    <t>Nonfat Dry Milk &amp; Cream</t>
  </si>
  <si>
    <t>Skim Milk Powder &amp; Anhydrous Milkfat</t>
  </si>
  <si>
    <t>Pounds of lactose/permeate to be added*</t>
  </si>
  <si>
    <t>*(enter "L" or "P" for lactose or permeate)</t>
  </si>
  <si>
    <t>Milk after AMF removal</t>
  </si>
  <si>
    <t>Skim Milk Powder and Cream</t>
  </si>
  <si>
    <t>Whole Milk Powder &amp; Andydrous Milkfat</t>
  </si>
  <si>
    <t>Whole Milk Powder &amp; Cream</t>
  </si>
  <si>
    <t>Net income summary</t>
  </si>
  <si>
    <t>% crude protein</t>
  </si>
  <si>
    <t>Nonfat Dry Milk Production</t>
  </si>
  <si>
    <t>crude protein as % of NFS</t>
  </si>
  <si>
    <t>Producer Milk (average)</t>
  </si>
  <si>
    <t>Producer Milk (high component)</t>
  </si>
  <si>
    <t>Milk composition (average)</t>
  </si>
  <si>
    <t>Milk composition (high component)</t>
  </si>
  <si>
    <t>Milk after excess butterfat removal</t>
  </si>
  <si>
    <t>Milk Powders</t>
  </si>
  <si>
    <t>Nonfat solids</t>
  </si>
  <si>
    <t>Pounds NFS</t>
  </si>
  <si>
    <t>Average Milk</t>
  </si>
  <si>
    <t>High Component Milk</t>
  </si>
  <si>
    <t>NDPSR butter</t>
  </si>
  <si>
    <t>Butter</t>
  </si>
  <si>
    <t>Lbs. butter/lb. butterfat</t>
  </si>
  <si>
    <t>Pounds butter</t>
  </si>
  <si>
    <t>Income Statement (Cream)</t>
  </si>
  <si>
    <t>Income Statement (Butter)</t>
  </si>
  <si>
    <t>Pounds nonfat solids</t>
  </si>
  <si>
    <t>Pounds total solids</t>
  </si>
  <si>
    <t>% crude protein (WMP)</t>
  </si>
  <si>
    <t>Milk Permeate  (84% of lactose price)</t>
  </si>
  <si>
    <t xml:space="preserve">PROTEIN STANDARDIZED POWDERS: ANOTHER JERSEY ADVANTAGE  </t>
  </si>
  <si>
    <t>PUBLISHED JUNE, 2014 JERSEY JOURNAL  © American Jersey Cattle Association and National All-Jersey Inc.  All Rights Reserved.</t>
  </si>
  <si>
    <t>National All-Jersey Inc., 6486 E. Main St., Reynoldsburg, OH 43068-2362, phone +1 614 322 4450, email naj@usjersey.com</t>
  </si>
  <si>
    <t>Posted June 5, 2014</t>
  </si>
  <si>
    <t>Online:  www.USJersey.com/NationalAllJerseyInc/Protein-Standardized-Powders.pdf</t>
  </si>
  <si>
    <t>WORKSHEET  to accompany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</si>
</sst>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0_);_(&quot;$&quot;* \(#,##0.0000\);_(&quot;$&quot;* &quot;-&quot;??_);_(@_)"/>
    <numFmt numFmtId="167" formatCode="_(* #,##0.0000_);_(* \(#,##0.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7" applyNumberFormat="1" applyFont="1" applyFill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44" fontId="39" fillId="0" borderId="0" xfId="44" applyFont="1" applyAlignment="1">
      <alignment/>
    </xf>
    <xf numFmtId="4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0" fontId="0" fillId="0" borderId="0" xfId="57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66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44" fontId="39" fillId="0" borderId="0" xfId="44" applyFont="1" applyFill="1" applyAlignment="1">
      <alignment/>
    </xf>
    <xf numFmtId="44" fontId="0" fillId="0" borderId="0" xfId="0" applyNumberFormat="1" applyFill="1" applyAlignment="1">
      <alignment/>
    </xf>
    <xf numFmtId="44" fontId="39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Alignment="1">
      <alignment/>
    </xf>
    <xf numFmtId="10" fontId="38" fillId="0" borderId="0" xfId="57" applyNumberFormat="1" applyFont="1" applyAlignment="1">
      <alignment/>
    </xf>
    <xf numFmtId="0" fontId="38" fillId="0" borderId="0" xfId="0" applyFont="1" applyAlignment="1">
      <alignment horizontal="center"/>
    </xf>
    <xf numFmtId="2" fontId="36" fillId="0" borderId="0" xfId="0" applyNumberFormat="1" applyFont="1" applyFill="1" applyAlignment="1">
      <alignment/>
    </xf>
    <xf numFmtId="165" fontId="0" fillId="0" borderId="0" xfId="42" applyNumberFormat="1" applyFont="1" applyAlignment="1">
      <alignment/>
    </xf>
    <xf numFmtId="2" fontId="36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ht="15.75">
      <c r="A1" s="44" t="s">
        <v>111</v>
      </c>
    </row>
    <row r="2" ht="18.75">
      <c r="A2" s="45" t="s">
        <v>113</v>
      </c>
    </row>
    <row r="3" ht="18.75">
      <c r="A3" s="45" t="s">
        <v>108</v>
      </c>
    </row>
    <row r="4" ht="18.75">
      <c r="A4" s="45" t="s">
        <v>109</v>
      </c>
    </row>
    <row r="5" ht="18.75">
      <c r="A5" s="45" t="s">
        <v>112</v>
      </c>
    </row>
    <row r="6" ht="18.75">
      <c r="A6" s="45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3.57421875" style="0" customWidth="1"/>
  </cols>
  <sheetData>
    <row r="2" ht="15">
      <c r="A2" s="2" t="s">
        <v>32</v>
      </c>
    </row>
    <row r="3" ht="15">
      <c r="A3" s="2"/>
    </row>
    <row r="4" ht="15">
      <c r="A4" s="17" t="s">
        <v>88</v>
      </c>
    </row>
    <row r="5" spans="1:2" ht="15">
      <c r="A5">
        <v>3.74</v>
      </c>
      <c r="B5" t="s">
        <v>43</v>
      </c>
    </row>
    <row r="6" spans="1:2" ht="15">
      <c r="A6" s="1">
        <v>3.1</v>
      </c>
      <c r="B6" t="s">
        <v>44</v>
      </c>
    </row>
    <row r="7" spans="1:2" ht="15">
      <c r="A7" s="1">
        <v>5.7</v>
      </c>
      <c r="B7" t="s">
        <v>45</v>
      </c>
    </row>
    <row r="8" ht="15">
      <c r="A8" s="1"/>
    </row>
    <row r="9" ht="15">
      <c r="A9" s="37" t="s">
        <v>89</v>
      </c>
    </row>
    <row r="10" spans="1:2" ht="15">
      <c r="A10" s="1">
        <v>4.79</v>
      </c>
      <c r="B10" t="s">
        <v>43</v>
      </c>
    </row>
    <row r="11" spans="1:2" ht="15">
      <c r="A11" s="1">
        <v>3.64</v>
      </c>
      <c r="B11" t="s">
        <v>44</v>
      </c>
    </row>
    <row r="12" spans="1:2" ht="15">
      <c r="A12" s="1">
        <v>5.75</v>
      </c>
      <c r="B12" t="s">
        <v>45</v>
      </c>
    </row>
    <row r="14" ht="15">
      <c r="A14" s="17" t="s">
        <v>22</v>
      </c>
    </row>
    <row r="15" spans="1:2" ht="15">
      <c r="A15" s="4">
        <v>0.45</v>
      </c>
      <c r="B15" t="s">
        <v>33</v>
      </c>
    </row>
    <row r="16" ht="15">
      <c r="A16" s="4"/>
    </row>
    <row r="17" ht="15">
      <c r="A17" s="38" t="s">
        <v>99</v>
      </c>
    </row>
    <row r="18" spans="1:2" ht="15">
      <c r="A18" s="41">
        <v>1.211</v>
      </c>
      <c r="B18" t="s">
        <v>100</v>
      </c>
    </row>
    <row r="19" ht="15">
      <c r="A19" s="4"/>
    </row>
    <row r="20" ht="15">
      <c r="A20" s="38" t="s">
        <v>57</v>
      </c>
    </row>
    <row r="21" spans="1:2" ht="15">
      <c r="A21" s="4">
        <v>0.998</v>
      </c>
      <c r="B21" t="s">
        <v>33</v>
      </c>
    </row>
    <row r="23" ht="15">
      <c r="A23" s="17" t="s">
        <v>93</v>
      </c>
    </row>
    <row r="24" spans="1:2" ht="15">
      <c r="A24" s="4">
        <v>0.033</v>
      </c>
      <c r="B24" t="s">
        <v>73</v>
      </c>
    </row>
    <row r="25" spans="1:2" ht="15">
      <c r="A25" s="4">
        <v>0.005</v>
      </c>
      <c r="B25" t="s">
        <v>75</v>
      </c>
    </row>
    <row r="26" spans="1:2" ht="15">
      <c r="A26" s="4">
        <f>1-A24-A25</f>
        <v>0.962</v>
      </c>
      <c r="B26" t="s">
        <v>74</v>
      </c>
    </row>
    <row r="27" spans="1:2" ht="15">
      <c r="A27" s="4">
        <v>0.0005</v>
      </c>
      <c r="B27" t="s">
        <v>50</v>
      </c>
    </row>
    <row r="28" spans="1:2" ht="15">
      <c r="A28" s="4">
        <v>0.268</v>
      </c>
      <c r="B28" t="s">
        <v>34</v>
      </c>
    </row>
    <row r="29" spans="1:2" ht="15">
      <c r="A29" s="4">
        <v>0.25</v>
      </c>
      <c r="B29" t="s">
        <v>106</v>
      </c>
    </row>
    <row r="30" spans="1:2" ht="15">
      <c r="A30" s="18">
        <f>A28/A29</f>
        <v>1.072</v>
      </c>
      <c r="B30" t="s">
        <v>35</v>
      </c>
    </row>
    <row r="31" spans="1:2" ht="15">
      <c r="A31" s="4">
        <v>0.34</v>
      </c>
      <c r="B31" t="s">
        <v>60</v>
      </c>
    </row>
    <row r="33" ht="15">
      <c r="A33" s="17" t="s">
        <v>37</v>
      </c>
    </row>
    <row r="34" spans="1:2" ht="15">
      <c r="A34" s="14">
        <v>1.7183</v>
      </c>
      <c r="B34" t="s">
        <v>36</v>
      </c>
    </row>
    <row r="35" spans="1:2" ht="15">
      <c r="A35" s="14">
        <v>1.7183</v>
      </c>
      <c r="B35" t="s">
        <v>38</v>
      </c>
    </row>
    <row r="36" spans="1:2" ht="15">
      <c r="A36" s="14">
        <v>1.8722</v>
      </c>
      <c r="B36" t="s">
        <v>18</v>
      </c>
    </row>
    <row r="37" spans="1:2" ht="15">
      <c r="A37" s="14">
        <f>(A34-0.1678)*0.99</f>
        <v>1.5349949999999999</v>
      </c>
      <c r="B37" t="s">
        <v>39</v>
      </c>
    </row>
    <row r="38" spans="1:2" ht="15">
      <c r="A38" s="14">
        <f>(A39-0.1715)*1.211</f>
        <v>1.6645195000000002</v>
      </c>
      <c r="B38" t="s">
        <v>40</v>
      </c>
    </row>
    <row r="39" spans="1:2" ht="15">
      <c r="A39" s="14">
        <v>1.546</v>
      </c>
      <c r="B39" t="s">
        <v>98</v>
      </c>
    </row>
    <row r="40" spans="1:2" ht="15">
      <c r="A40" s="1">
        <v>1.2</v>
      </c>
      <c r="B40" t="s">
        <v>41</v>
      </c>
    </row>
    <row r="41" spans="1:2" ht="15">
      <c r="A41" s="1">
        <v>1.39</v>
      </c>
      <c r="B41" t="s">
        <v>42</v>
      </c>
    </row>
    <row r="42" spans="1:2" ht="15">
      <c r="A42" s="14">
        <v>0.6617</v>
      </c>
      <c r="B42" t="s">
        <v>26</v>
      </c>
    </row>
    <row r="43" spans="1:2" ht="15">
      <c r="A43" s="14">
        <f>A42*0.84</f>
        <v>0.555828</v>
      </c>
      <c r="B43" t="s">
        <v>107</v>
      </c>
    </row>
    <row r="46" ht="15">
      <c r="A46" s="17" t="s">
        <v>84</v>
      </c>
    </row>
    <row r="47" spans="2:7" ht="15">
      <c r="B47" s="43" t="s">
        <v>96</v>
      </c>
      <c r="C47" s="43"/>
      <c r="E47" s="43" t="s">
        <v>97</v>
      </c>
      <c r="F47" s="43"/>
      <c r="G47" s="43"/>
    </row>
    <row r="48" spans="2:6" ht="15">
      <c r="B48" s="10" t="s">
        <v>57</v>
      </c>
      <c r="C48" s="10" t="s">
        <v>22</v>
      </c>
      <c r="E48" s="10" t="s">
        <v>57</v>
      </c>
      <c r="F48" s="10" t="s">
        <v>22</v>
      </c>
    </row>
    <row r="49" spans="1:6" ht="15">
      <c r="A49" t="s">
        <v>36</v>
      </c>
      <c r="B49" s="13">
        <f>' NDM (AMF)'!E44</f>
        <v>3.9217259060735437</v>
      </c>
      <c r="C49" s="13">
        <f>' NDM (cream &amp; butter)'!E47</f>
        <v>2.105213405996558</v>
      </c>
      <c r="E49" s="13">
        <f>' NDM (AMF)'!P44</f>
        <v>4.5728465058137395</v>
      </c>
      <c r="F49" s="13">
        <f>' NDM (cream &amp; butter)'!P47</f>
        <v>2.165308011348813</v>
      </c>
    </row>
    <row r="50" spans="1:6" ht="15">
      <c r="A50" t="s">
        <v>38</v>
      </c>
      <c r="B50" s="13">
        <f>'SMP (AMF)'!E45</f>
        <v>4.845425771994222</v>
      </c>
      <c r="C50" s="13">
        <f>'SMP (cream &amp; butter)'!E48</f>
        <v>2.985655362502648</v>
      </c>
      <c r="E50" s="13">
        <f>'SMP (AMF)'!P45</f>
        <v>6.610270689645205</v>
      </c>
      <c r="F50" s="13">
        <f>'SMP (cream &amp; butter)'!P48</f>
        <v>4.078812212845172</v>
      </c>
    </row>
    <row r="51" spans="1:6" ht="15">
      <c r="A51" t="s">
        <v>18</v>
      </c>
      <c r="B51" s="13">
        <f>'WMP (AMF)'!E46</f>
        <v>5.098864943705333</v>
      </c>
      <c r="C51" s="13">
        <f>'WMP (cream &amp; butter)'!E49</f>
        <v>4.976719163930227</v>
      </c>
      <c r="E51" s="13">
        <f>'WMP (AMF)'!Q46</f>
        <v>6.89291130666998</v>
      </c>
      <c r="F51" s="13">
        <f>'WMP (cream &amp; butter)'!Q49</f>
        <v>6.471877553898711</v>
      </c>
    </row>
  </sheetData>
  <sheetProtection/>
  <mergeCells count="2">
    <mergeCell ref="B47:C47"/>
    <mergeCell ref="E47:G4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9.140625" style="20" customWidth="1"/>
    <col min="2" max="2" width="17.140625" style="20" customWidth="1"/>
    <col min="3" max="4" width="9.140625" style="20" customWidth="1"/>
    <col min="5" max="5" width="9.8515625" style="20" customWidth="1"/>
    <col min="6" max="12" width="9.140625" style="20" customWidth="1"/>
    <col min="13" max="13" width="11.57421875" style="20" customWidth="1"/>
    <col min="14" max="16384" width="9.140625" style="20" customWidth="1"/>
  </cols>
  <sheetData>
    <row r="1" ht="15">
      <c r="A1" s="36" t="s">
        <v>72</v>
      </c>
    </row>
    <row r="2" spans="1:17" ht="15">
      <c r="A2" s="24" t="s">
        <v>90</v>
      </c>
      <c r="F2" s="24"/>
      <c r="L2" s="24" t="s">
        <v>91</v>
      </c>
      <c r="Q2" s="24"/>
    </row>
    <row r="3" spans="1:13" ht="15">
      <c r="A3" s="20">
        <v>100</v>
      </c>
      <c r="B3" s="20" t="s">
        <v>65</v>
      </c>
      <c r="L3" s="20">
        <v>100</v>
      </c>
      <c r="M3" s="20" t="s">
        <v>65</v>
      </c>
    </row>
    <row r="4" spans="1:17" ht="15">
      <c r="A4" s="21">
        <f>'Input Page'!A5</f>
        <v>3.74</v>
      </c>
      <c r="B4" s="20" t="s">
        <v>66</v>
      </c>
      <c r="F4" s="22"/>
      <c r="L4" s="21">
        <f>'Input Page'!A10</f>
        <v>4.79</v>
      </c>
      <c r="M4" s="20" t="s">
        <v>66</v>
      </c>
      <c r="Q4" s="22"/>
    </row>
    <row r="5" spans="1:17" ht="15">
      <c r="A5" s="21">
        <f>'Input Page'!A6</f>
        <v>3.1</v>
      </c>
      <c r="B5" s="20" t="s">
        <v>67</v>
      </c>
      <c r="F5" s="22"/>
      <c r="L5" s="21">
        <f>'Input Page'!A11</f>
        <v>3.64</v>
      </c>
      <c r="M5" s="20" t="s">
        <v>67</v>
      </c>
      <c r="Q5" s="22"/>
    </row>
    <row r="6" spans="1:17" ht="15">
      <c r="A6" s="21">
        <f>A5+0.19</f>
        <v>3.29</v>
      </c>
      <c r="B6" s="20" t="s">
        <v>0</v>
      </c>
      <c r="F6" s="22"/>
      <c r="L6" s="21">
        <f>L5+0.19</f>
        <v>3.83</v>
      </c>
      <c r="M6" s="20" t="s">
        <v>0</v>
      </c>
      <c r="Q6" s="22"/>
    </row>
    <row r="7" spans="1:17" ht="15">
      <c r="A7" s="20">
        <f>'Input Page'!A7</f>
        <v>5.7</v>
      </c>
      <c r="B7" s="20" t="s">
        <v>68</v>
      </c>
      <c r="F7" s="22"/>
      <c r="L7" s="21">
        <f>'Input Page'!A12</f>
        <v>5.75</v>
      </c>
      <c r="M7" s="20" t="s">
        <v>68</v>
      </c>
      <c r="Q7" s="22"/>
    </row>
    <row r="8" spans="1:17" ht="15">
      <c r="A8" s="21">
        <f>A4+A5+A7</f>
        <v>12.54</v>
      </c>
      <c r="B8" s="20" t="s">
        <v>29</v>
      </c>
      <c r="F8" s="23"/>
      <c r="L8" s="21">
        <f>L4+L5+L7</f>
        <v>14.18</v>
      </c>
      <c r="M8" s="20" t="s">
        <v>29</v>
      </c>
      <c r="Q8" s="23"/>
    </row>
    <row r="9" spans="1:13" ht="15">
      <c r="A9" s="21">
        <f>A8-A4</f>
        <v>8.799999999999999</v>
      </c>
      <c r="B9" s="20" t="s">
        <v>94</v>
      </c>
      <c r="L9" s="21">
        <f>L8-L4</f>
        <v>9.39</v>
      </c>
      <c r="M9" s="20" t="s">
        <v>94</v>
      </c>
    </row>
    <row r="10" spans="1:12" ht="15">
      <c r="A10" s="25"/>
      <c r="L10" s="25"/>
    </row>
    <row r="11" spans="1:12" ht="15">
      <c r="A11" s="24" t="s">
        <v>55</v>
      </c>
      <c r="L11" s="24" t="s">
        <v>55</v>
      </c>
    </row>
    <row r="12" spans="1:13" ht="15">
      <c r="A12" s="22">
        <f>'Input Page'!$A$21</f>
        <v>0.998</v>
      </c>
      <c r="B12" s="20" t="s">
        <v>2</v>
      </c>
      <c r="L12" s="22">
        <f>'Input Page'!$A$21</f>
        <v>0.998</v>
      </c>
      <c r="M12" s="20" t="s">
        <v>2</v>
      </c>
    </row>
    <row r="13" spans="1:13" ht="15">
      <c r="A13" s="8">
        <f>A3*((A4/100)-'Input Page'!$A$27)/($A$12-'Input Page'!$A$27)</f>
        <v>3.699248120300752</v>
      </c>
      <c r="B13" s="20" t="s">
        <v>56</v>
      </c>
      <c r="L13" s="8">
        <f>L3*((L4/100)-'Input Page'!$A$27)/($A$12-'Input Page'!$A$27)</f>
        <v>4.7518796992481205</v>
      </c>
      <c r="M13" s="20" t="s">
        <v>56</v>
      </c>
    </row>
    <row r="14" spans="1:13" ht="15">
      <c r="A14" s="26">
        <f>$A$13*$A$12</f>
        <v>3.6918496240601506</v>
      </c>
      <c r="B14" s="20" t="s">
        <v>5</v>
      </c>
      <c r="L14" s="26">
        <f>L13*L12</f>
        <v>4.742375939849624</v>
      </c>
      <c r="M14" s="20" t="s">
        <v>5</v>
      </c>
    </row>
    <row r="15" spans="1:13" ht="15">
      <c r="A15" s="21">
        <f>($A$13-$A$14)*(A5/($A$3-$A$4))</f>
        <v>0.00023826447481678796</v>
      </c>
      <c r="B15" s="20" t="s">
        <v>7</v>
      </c>
      <c r="L15" s="21">
        <f>($L$13-$L$14)*(L5/($L$3-$L$4))</f>
        <v>0.0003633408697671202</v>
      </c>
      <c r="M15" s="20" t="s">
        <v>7</v>
      </c>
    </row>
    <row r="16" spans="1:13" ht="15">
      <c r="A16" s="21">
        <f>($A$13-$A$14)*(A6/($A$3-$A$4))</f>
        <v>0.00025286778133781686</v>
      </c>
      <c r="B16" s="20" t="s">
        <v>8</v>
      </c>
      <c r="L16" s="21">
        <f>($L$13-$L$14)*(L6/($L$3-$L$4))</f>
        <v>0.0003823064646176018</v>
      </c>
      <c r="M16" s="20" t="s">
        <v>8</v>
      </c>
    </row>
    <row r="17" spans="1:13" ht="15">
      <c r="A17" s="21">
        <f>($A$13-$A$14)*(A9/($A$3-$A$4))</f>
        <v>0.000676363670447656</v>
      </c>
      <c r="B17" s="20" t="s">
        <v>95</v>
      </c>
      <c r="L17" s="21">
        <f>($L$13-$L$14)*(L9/($L$3-$L$4))</f>
        <v>0.0009372996612948514</v>
      </c>
      <c r="M17" s="20" t="s">
        <v>95</v>
      </c>
    </row>
    <row r="19" spans="1:12" ht="15">
      <c r="A19" s="24" t="s">
        <v>92</v>
      </c>
      <c r="L19" s="24" t="s">
        <v>92</v>
      </c>
    </row>
    <row r="20" spans="1:13" ht="15">
      <c r="A20" s="26">
        <f>A3-A13</f>
        <v>96.30075187969925</v>
      </c>
      <c r="B20" s="20" t="s">
        <v>9</v>
      </c>
      <c r="L20" s="26">
        <f>L3-L13</f>
        <v>95.24812030075188</v>
      </c>
      <c r="M20" s="20" t="s">
        <v>9</v>
      </c>
    </row>
    <row r="21" spans="1:13" ht="15">
      <c r="A21" s="26">
        <f>A4-A14</f>
        <v>0.04815037593984961</v>
      </c>
      <c r="B21" s="20" t="s">
        <v>5</v>
      </c>
      <c r="L21" s="26">
        <f>L4-L14</f>
        <v>0.047624060150376124</v>
      </c>
      <c r="M21" s="20" t="s">
        <v>5</v>
      </c>
    </row>
    <row r="22" spans="1:13" ht="15">
      <c r="A22" s="21">
        <f>A5-A15</f>
        <v>3.0997617355251834</v>
      </c>
      <c r="B22" s="20" t="s">
        <v>7</v>
      </c>
      <c r="L22" s="21">
        <f>L5-L15</f>
        <v>3.639636659130233</v>
      </c>
      <c r="M22" s="20" t="s">
        <v>7</v>
      </c>
    </row>
    <row r="23" spans="1:13" ht="15">
      <c r="A23" s="21">
        <f>A6-A16</f>
        <v>3.2897471322186624</v>
      </c>
      <c r="B23" s="20" t="s">
        <v>8</v>
      </c>
      <c r="L23" s="21">
        <f>L6-L16</f>
        <v>3.8296176935353823</v>
      </c>
      <c r="M23" s="20" t="s">
        <v>8</v>
      </c>
    </row>
    <row r="24" spans="1:13" ht="15">
      <c r="A24" s="21">
        <f>A9-A17</f>
        <v>8.799323636329552</v>
      </c>
      <c r="B24" s="20" t="s">
        <v>104</v>
      </c>
      <c r="L24" s="21">
        <f>L9-L17</f>
        <v>9.389062700338705</v>
      </c>
      <c r="M24" s="20" t="s">
        <v>104</v>
      </c>
    </row>
    <row r="25" spans="1:13" ht="15">
      <c r="A25" s="21">
        <f>A24+A21</f>
        <v>8.847474012269402</v>
      </c>
      <c r="B25" s="20" t="s">
        <v>105</v>
      </c>
      <c r="L25" s="21">
        <f>L24+L21</f>
        <v>9.436686760489081</v>
      </c>
      <c r="M25" s="20" t="s">
        <v>105</v>
      </c>
    </row>
    <row r="27" spans="1:18" ht="15">
      <c r="A27" s="24" t="s">
        <v>86</v>
      </c>
      <c r="G27" s="20" t="s">
        <v>51</v>
      </c>
      <c r="L27" s="24" t="s">
        <v>86</v>
      </c>
      <c r="R27" s="20" t="s">
        <v>51</v>
      </c>
    </row>
    <row r="28" spans="1:19" ht="15">
      <c r="A28" s="21">
        <f>A25/(1-'Input Page'!$A$24)</f>
        <v>9.149404356017996</v>
      </c>
      <c r="B28" s="20" t="s">
        <v>49</v>
      </c>
      <c r="G28" s="22">
        <f>A21/A28</f>
        <v>0.0052626787565879995</v>
      </c>
      <c r="H28" s="20" t="s">
        <v>4</v>
      </c>
      <c r="L28" s="21">
        <f>L25/(1-'Input Page'!$A$24)</f>
        <v>9.758724674756031</v>
      </c>
      <c r="M28" s="20" t="s">
        <v>49</v>
      </c>
      <c r="R28" s="22">
        <f>L21/L28</f>
        <v>0.0048801520421588</v>
      </c>
      <c r="S28" s="20" t="s">
        <v>4</v>
      </c>
    </row>
    <row r="29" spans="1:19" ht="15">
      <c r="A29" s="21"/>
      <c r="G29" s="22">
        <f>A23/A28</f>
        <v>0.3595586121466847</v>
      </c>
      <c r="H29" s="20" t="s">
        <v>54</v>
      </c>
      <c r="L29" s="21"/>
      <c r="R29" s="22">
        <f>L23/L28</f>
        <v>0.3924301403278521</v>
      </c>
      <c r="S29" s="20" t="s">
        <v>54</v>
      </c>
    </row>
    <row r="30" spans="1:19" ht="15">
      <c r="A30" s="27"/>
      <c r="G30" s="26">
        <f>A21+A24/(1-'Input Page'!$A$24)</f>
        <v>9.147761168421289</v>
      </c>
      <c r="H30" s="20" t="s">
        <v>53</v>
      </c>
      <c r="L30" s="27"/>
      <c r="R30" s="26">
        <f>L21+L24/(1-'Input Page'!$A$24)</f>
        <v>9.757099448297952</v>
      </c>
      <c r="S30" s="20" t="s">
        <v>53</v>
      </c>
    </row>
    <row r="32" spans="1:12" ht="15">
      <c r="A32" s="24" t="s">
        <v>16</v>
      </c>
      <c r="L32" s="24" t="s">
        <v>16</v>
      </c>
    </row>
    <row r="33" spans="1:12" ht="15">
      <c r="A33" s="29" t="s">
        <v>23</v>
      </c>
      <c r="L33" s="29" t="s">
        <v>23</v>
      </c>
    </row>
    <row r="34" spans="2:16" ht="15">
      <c r="B34" s="30" t="s">
        <v>17</v>
      </c>
      <c r="C34" s="30" t="s">
        <v>19</v>
      </c>
      <c r="D34" s="30" t="s">
        <v>20</v>
      </c>
      <c r="E34" s="30" t="s">
        <v>21</v>
      </c>
      <c r="M34" s="30" t="s">
        <v>17</v>
      </c>
      <c r="N34" s="30" t="s">
        <v>19</v>
      </c>
      <c r="O34" s="30" t="s">
        <v>20</v>
      </c>
      <c r="P34" s="30" t="s">
        <v>21</v>
      </c>
    </row>
    <row r="35" spans="2:16" ht="15">
      <c r="B35" s="20" t="s">
        <v>52</v>
      </c>
      <c r="C35" s="21">
        <f>A28</f>
        <v>9.149404356017996</v>
      </c>
      <c r="D35" s="31">
        <f>'Input Page'!$A$34</f>
        <v>1.7183</v>
      </c>
      <c r="E35" s="32">
        <f>C35*D35</f>
        <v>15.721421504945722</v>
      </c>
      <c r="M35" s="20" t="s">
        <v>52</v>
      </c>
      <c r="N35" s="21">
        <f>L28</f>
        <v>9.758724674756031</v>
      </c>
      <c r="O35" s="31">
        <f>'Input Page'!$A$34</f>
        <v>1.7183</v>
      </c>
      <c r="P35" s="32">
        <f>N35*O35</f>
        <v>16.768416608633288</v>
      </c>
    </row>
    <row r="36" spans="2:16" ht="17.25">
      <c r="B36" s="20" t="s">
        <v>57</v>
      </c>
      <c r="C36" s="26">
        <f>A13</f>
        <v>3.699248120300752</v>
      </c>
      <c r="D36" s="31">
        <f>'Input Page'!$A$21*'Input Page'!$A$39*'Input Page'!$A$41</f>
        <v>2.14464212</v>
      </c>
      <c r="E36" s="33">
        <f>C36*D36</f>
        <v>7.933563331127819</v>
      </c>
      <c r="M36" s="20" t="s">
        <v>57</v>
      </c>
      <c r="N36" s="26">
        <f>L13</f>
        <v>4.7518796992481205</v>
      </c>
      <c r="O36" s="31">
        <f>'Input Page'!$A$21*'Input Page'!$A$39*'Input Page'!$A$41</f>
        <v>2.14464212</v>
      </c>
      <c r="P36" s="33">
        <f>N36*O36</f>
        <v>10.19108135218045</v>
      </c>
    </row>
    <row r="37" spans="2:16" ht="15">
      <c r="B37" s="20" t="s">
        <v>21</v>
      </c>
      <c r="E37" s="34">
        <f>SUM(E35:E36)</f>
        <v>23.65498483607354</v>
      </c>
      <c r="M37" s="20" t="s">
        <v>21</v>
      </c>
      <c r="P37" s="34">
        <f>SUM(P35:P36)</f>
        <v>26.95949796081374</v>
      </c>
    </row>
    <row r="39" spans="1:16" ht="15">
      <c r="A39" s="20" t="s">
        <v>24</v>
      </c>
      <c r="B39" s="30" t="s">
        <v>17</v>
      </c>
      <c r="C39" s="30" t="s">
        <v>19</v>
      </c>
      <c r="D39" s="30" t="s">
        <v>20</v>
      </c>
      <c r="E39" s="30" t="s">
        <v>21</v>
      </c>
      <c r="L39" s="20" t="s">
        <v>24</v>
      </c>
      <c r="M39" s="30" t="s">
        <v>17</v>
      </c>
      <c r="N39" s="30" t="s">
        <v>19</v>
      </c>
      <c r="O39" s="30" t="s">
        <v>20</v>
      </c>
      <c r="P39" s="30" t="s">
        <v>21</v>
      </c>
    </row>
    <row r="40" spans="2:16" ht="15">
      <c r="B40" s="20" t="s">
        <v>39</v>
      </c>
      <c r="C40" s="21">
        <f>A9</f>
        <v>8.799999999999999</v>
      </c>
      <c r="D40" s="31">
        <f>'Input Page'!$A$37</f>
        <v>1.5349949999999999</v>
      </c>
      <c r="E40" s="34">
        <f>C40*D40</f>
        <v>13.507955999999997</v>
      </c>
      <c r="M40" s="20" t="s">
        <v>39</v>
      </c>
      <c r="N40" s="21">
        <f>L9</f>
        <v>9.39</v>
      </c>
      <c r="O40" s="31">
        <f>'Input Page'!$A$37</f>
        <v>1.5349949999999999</v>
      </c>
      <c r="P40" s="34">
        <f>N40*O40</f>
        <v>14.413603049999999</v>
      </c>
    </row>
    <row r="41" spans="2:16" ht="15">
      <c r="B41" s="20" t="s">
        <v>25</v>
      </c>
      <c r="C41" s="21">
        <f>A4</f>
        <v>3.74</v>
      </c>
      <c r="D41" s="31">
        <f>'Input Page'!$A$38</f>
        <v>1.6645195000000002</v>
      </c>
      <c r="E41" s="34">
        <f>C41*D41</f>
        <v>6.225302930000001</v>
      </c>
      <c r="M41" s="20" t="s">
        <v>25</v>
      </c>
      <c r="N41" s="21">
        <f>L4</f>
        <v>4.79</v>
      </c>
      <c r="O41" s="31">
        <f>'Input Page'!$A$38</f>
        <v>1.6645195000000002</v>
      </c>
      <c r="P41" s="34">
        <f>N41*O41</f>
        <v>7.973048405000001</v>
      </c>
    </row>
    <row r="42" spans="2:16" ht="15">
      <c r="B42" s="20" t="s">
        <v>21</v>
      </c>
      <c r="E42" s="34">
        <f>SUM(E40:E41)</f>
        <v>19.733258929999998</v>
      </c>
      <c r="M42" s="20" t="s">
        <v>21</v>
      </c>
      <c r="P42" s="34">
        <f>SUM(P40:P41)</f>
        <v>22.386651455</v>
      </c>
    </row>
    <row r="44" spans="1:16" ht="15">
      <c r="A44" s="20" t="s">
        <v>27</v>
      </c>
      <c r="E44" s="34">
        <f>E37-E42</f>
        <v>3.9217259060735437</v>
      </c>
      <c r="L44" s="20" t="s">
        <v>27</v>
      </c>
      <c r="P44" s="34">
        <f>P37-P42</f>
        <v>4.5728465058137395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9.140625" style="20" customWidth="1"/>
    <col min="2" max="2" width="17.140625" style="20" customWidth="1"/>
    <col min="3" max="4" width="9.140625" style="20" customWidth="1"/>
    <col min="5" max="5" width="9.8515625" style="20" customWidth="1"/>
    <col min="6" max="12" width="9.140625" style="20" customWidth="1"/>
    <col min="13" max="13" width="11.28125" style="20" customWidth="1"/>
    <col min="14" max="16384" width="9.140625" style="20" customWidth="1"/>
  </cols>
  <sheetData>
    <row r="1" ht="15">
      <c r="A1" s="36" t="s">
        <v>76</v>
      </c>
    </row>
    <row r="2" spans="1:12" ht="15">
      <c r="A2" s="24" t="s">
        <v>3</v>
      </c>
      <c r="L2" s="24" t="s">
        <v>3</v>
      </c>
    </row>
    <row r="3" spans="1:13" ht="15">
      <c r="A3" s="20">
        <v>100</v>
      </c>
      <c r="B3" s="20" t="s">
        <v>65</v>
      </c>
      <c r="L3" s="20">
        <v>100</v>
      </c>
      <c r="M3" s="20" t="s">
        <v>65</v>
      </c>
    </row>
    <row r="4" spans="1:13" ht="15">
      <c r="A4" s="21">
        <f>'Input Page'!A5</f>
        <v>3.74</v>
      </c>
      <c r="B4" s="20" t="s">
        <v>66</v>
      </c>
      <c r="L4" s="21">
        <f>'Input Page'!A10</f>
        <v>4.79</v>
      </c>
      <c r="M4" s="20" t="s">
        <v>66</v>
      </c>
    </row>
    <row r="5" spans="1:13" ht="15">
      <c r="A5" s="21">
        <f>'Input Page'!A6</f>
        <v>3.1</v>
      </c>
      <c r="B5" s="20" t="s">
        <v>67</v>
      </c>
      <c r="L5" s="21">
        <f>'Input Page'!A11</f>
        <v>3.64</v>
      </c>
      <c r="M5" s="20" t="s">
        <v>67</v>
      </c>
    </row>
    <row r="6" spans="1:13" ht="15">
      <c r="A6" s="21">
        <f>A5+0.19</f>
        <v>3.29</v>
      </c>
      <c r="B6" s="20" t="s">
        <v>0</v>
      </c>
      <c r="L6" s="21">
        <f>L5+0.19</f>
        <v>3.83</v>
      </c>
      <c r="M6" s="20" t="s">
        <v>0</v>
      </c>
    </row>
    <row r="7" spans="1:13" ht="15">
      <c r="A7" s="21">
        <f>'Input Page'!A7</f>
        <v>5.7</v>
      </c>
      <c r="B7" s="20" t="s">
        <v>68</v>
      </c>
      <c r="L7" s="21">
        <f>'Input Page'!A12</f>
        <v>5.75</v>
      </c>
      <c r="M7" s="20" t="s">
        <v>68</v>
      </c>
    </row>
    <row r="8" spans="1:13" ht="15">
      <c r="A8" s="21">
        <f>A4+A5+A7</f>
        <v>12.54</v>
      </c>
      <c r="B8" s="20" t="s">
        <v>29</v>
      </c>
      <c r="L8" s="21">
        <f>L4+L5+L7</f>
        <v>14.18</v>
      </c>
      <c r="M8" s="20" t="s">
        <v>29</v>
      </c>
    </row>
    <row r="9" spans="1:13" ht="15">
      <c r="A9" s="21">
        <f>A8-A4</f>
        <v>8.799999999999999</v>
      </c>
      <c r="B9" s="20" t="s">
        <v>94</v>
      </c>
      <c r="L9" s="21">
        <f>L8-L4</f>
        <v>9.39</v>
      </c>
      <c r="M9" s="20" t="s">
        <v>94</v>
      </c>
    </row>
    <row r="10" spans="1:12" ht="15">
      <c r="A10" s="25"/>
      <c r="L10" s="25"/>
    </row>
    <row r="11" spans="1:12" ht="15">
      <c r="A11" s="24" t="s">
        <v>1</v>
      </c>
      <c r="L11" s="24" t="s">
        <v>1</v>
      </c>
    </row>
    <row r="12" spans="1:13" ht="15">
      <c r="A12" s="22">
        <f>'Input Page'!$A$15</f>
        <v>0.45</v>
      </c>
      <c r="B12" s="20" t="s">
        <v>2</v>
      </c>
      <c r="L12" s="22">
        <f>'Input Page'!$A$15</f>
        <v>0.45</v>
      </c>
      <c r="M12" s="20" t="s">
        <v>2</v>
      </c>
    </row>
    <row r="13" spans="1:13" ht="15">
      <c r="A13" s="8">
        <f>A3*((A4/100)-'Input Page'!$A$27)/($A$12-'Input Page'!$A$27)</f>
        <v>8.2091212458287</v>
      </c>
      <c r="B13" s="20" t="s">
        <v>6</v>
      </c>
      <c r="L13" s="8">
        <f>L3*((L4/100)-'Input Page'!$A$27)/($A$12-'Input Page'!$A$27)</f>
        <v>10.545050055617352</v>
      </c>
      <c r="M13" s="20" t="s">
        <v>6</v>
      </c>
    </row>
    <row r="14" spans="1:13" ht="15">
      <c r="A14" s="26">
        <f>A13*A12</f>
        <v>3.6941045606229146</v>
      </c>
      <c r="B14" s="20" t="s">
        <v>5</v>
      </c>
      <c r="L14" s="26">
        <f>L13*L12</f>
        <v>4.745272525027809</v>
      </c>
      <c r="M14" s="20" t="s">
        <v>5</v>
      </c>
    </row>
    <row r="15" spans="1:13" ht="15">
      <c r="A15" s="21">
        <f>(A13-A14)*(A5/(A3-A4))</f>
        <v>0.1454036123430078</v>
      </c>
      <c r="B15" s="20" t="s">
        <v>7</v>
      </c>
      <c r="L15" s="21">
        <f>(L13-L14)*(L5/(L3-L4))</f>
        <v>0.22173290842711837</v>
      </c>
      <c r="M15" s="20" t="s">
        <v>7</v>
      </c>
    </row>
    <row r="16" spans="1:13" ht="15">
      <c r="A16" s="21">
        <f>(A13-A14)*(A6/(A3-A4))</f>
        <v>0.15431544664790184</v>
      </c>
      <c r="B16" s="20" t="s">
        <v>8</v>
      </c>
      <c r="L16" s="21">
        <f>(L13-L14)*(L6/(L3-L4))</f>
        <v>0.2333068789219405</v>
      </c>
      <c r="M16" s="20" t="s">
        <v>8</v>
      </c>
    </row>
    <row r="17" spans="1:13" ht="15">
      <c r="A17" s="21">
        <f>(A13-A14)*(A9/(A3-A4))</f>
        <v>0.41275864148982855</v>
      </c>
      <c r="B17" s="20" t="s">
        <v>95</v>
      </c>
      <c r="L17" s="21">
        <f>(L13-L14)*(L9/(L3-L4))</f>
        <v>0.5719978049809455</v>
      </c>
      <c r="M17" s="20" t="s">
        <v>95</v>
      </c>
    </row>
    <row r="18" spans="1:12" ht="15">
      <c r="A18" s="21"/>
      <c r="L18" s="21"/>
    </row>
    <row r="19" spans="1:12" ht="15">
      <c r="A19" s="40" t="s">
        <v>99</v>
      </c>
      <c r="L19" s="40" t="s">
        <v>99</v>
      </c>
    </row>
    <row r="20" spans="1:13" ht="15">
      <c r="A20" s="21">
        <f>A14*'Input Page'!A18</f>
        <v>4.473560622914349</v>
      </c>
      <c r="B20" s="20" t="s">
        <v>101</v>
      </c>
      <c r="L20" s="21">
        <f>L14*'Input Page'!A18</f>
        <v>5.746525027808676</v>
      </c>
      <c r="M20" s="20" t="s">
        <v>101</v>
      </c>
    </row>
    <row r="22" spans="1:12" ht="15">
      <c r="A22" s="24" t="s">
        <v>30</v>
      </c>
      <c r="L22" s="24" t="s">
        <v>30</v>
      </c>
    </row>
    <row r="23" spans="1:13" ht="15">
      <c r="A23" s="26">
        <f>A3-A13</f>
        <v>91.7908787541713</v>
      </c>
      <c r="B23" s="20" t="s">
        <v>9</v>
      </c>
      <c r="L23" s="26">
        <f>L3-L13</f>
        <v>89.45494994438265</v>
      </c>
      <c r="M23" s="20" t="s">
        <v>9</v>
      </c>
    </row>
    <row r="24" spans="1:13" ht="15">
      <c r="A24" s="26">
        <f>A4-A14</f>
        <v>0.04589543937708562</v>
      </c>
      <c r="B24" s="20" t="s">
        <v>5</v>
      </c>
      <c r="L24" s="26">
        <f>L4-L14</f>
        <v>0.04472747497219132</v>
      </c>
      <c r="M24" s="20" t="s">
        <v>5</v>
      </c>
    </row>
    <row r="25" spans="1:13" ht="15">
      <c r="A25" s="21">
        <f>A5-A15</f>
        <v>2.9545963876569923</v>
      </c>
      <c r="B25" s="20" t="s">
        <v>7</v>
      </c>
      <c r="L25" s="21">
        <f>L5-L15</f>
        <v>3.418267091572882</v>
      </c>
      <c r="M25" s="20" t="s">
        <v>7</v>
      </c>
    </row>
    <row r="26" spans="1:13" ht="15">
      <c r="A26" s="21">
        <f>A6-A16</f>
        <v>3.1356845533520983</v>
      </c>
      <c r="B26" s="20" t="s">
        <v>8</v>
      </c>
      <c r="L26" s="21">
        <f>L6-L16</f>
        <v>3.5966931210780597</v>
      </c>
      <c r="M26" s="20" t="s">
        <v>8</v>
      </c>
    </row>
    <row r="27" spans="1:13" ht="15">
      <c r="A27" s="21">
        <f>A9-A17</f>
        <v>8.38724135851017</v>
      </c>
      <c r="B27" s="20" t="s">
        <v>104</v>
      </c>
      <c r="L27" s="21">
        <f>L9-L17</f>
        <v>8.818002195019055</v>
      </c>
      <c r="M27" s="20" t="s">
        <v>104</v>
      </c>
    </row>
    <row r="28" spans="1:13" ht="15">
      <c r="A28" s="21">
        <f>A27+A24</f>
        <v>8.433136797887256</v>
      </c>
      <c r="B28" s="20" t="s">
        <v>105</v>
      </c>
      <c r="L28" s="21">
        <f>L27+L24</f>
        <v>8.862729669991246</v>
      </c>
      <c r="M28" s="20" t="s">
        <v>105</v>
      </c>
    </row>
    <row r="30" spans="1:18" ht="15">
      <c r="A30" s="24" t="s">
        <v>86</v>
      </c>
      <c r="G30" s="20" t="s">
        <v>51</v>
      </c>
      <c r="L30" s="24" t="s">
        <v>86</v>
      </c>
      <c r="R30" s="20" t="s">
        <v>51</v>
      </c>
    </row>
    <row r="31" spans="1:19" ht="15">
      <c r="A31" s="21">
        <f>A28/(1-'Input Page'!$A$24)</f>
        <v>8.720927402158486</v>
      </c>
      <c r="B31" s="20" t="s">
        <v>49</v>
      </c>
      <c r="G31" s="22">
        <f>A24/A31</f>
        <v>0.005262678756587999</v>
      </c>
      <c r="H31" s="20" t="s">
        <v>4</v>
      </c>
      <c r="L31" s="21">
        <f>L28/(1-'Input Page'!$A$24)</f>
        <v>9.165180630807907</v>
      </c>
      <c r="M31" s="20" t="s">
        <v>49</v>
      </c>
      <c r="R31" s="22">
        <f>L24/L31</f>
        <v>0.004880152042158781</v>
      </c>
      <c r="S31" s="20" t="s">
        <v>4</v>
      </c>
    </row>
    <row r="32" spans="1:19" ht="15">
      <c r="A32" s="21"/>
      <c r="G32" s="22">
        <f>A26/A31</f>
        <v>0.3595586121466848</v>
      </c>
      <c r="H32" s="20" t="s">
        <v>85</v>
      </c>
      <c r="L32" s="21"/>
      <c r="R32" s="22">
        <f>L26/L31</f>
        <v>0.3924301403278522</v>
      </c>
      <c r="S32" s="20" t="s">
        <v>85</v>
      </c>
    </row>
    <row r="33" spans="1:19" ht="15">
      <c r="A33" s="27"/>
      <c r="G33" s="26">
        <f>(A24+A27+A32)/(1-'Input Page'!$A$24)</f>
        <v>8.720927402158486</v>
      </c>
      <c r="H33" s="20" t="s">
        <v>53</v>
      </c>
      <c r="L33" s="27"/>
      <c r="R33" s="26">
        <f>(L24+L27+L32)/(1-'Input Page'!$A$24)</f>
        <v>9.165180630807907</v>
      </c>
      <c r="S33" s="20" t="s">
        <v>53</v>
      </c>
    </row>
    <row r="34" spans="7:18" ht="15">
      <c r="G34" s="28"/>
      <c r="R34" s="28"/>
    </row>
    <row r="35" spans="1:12" ht="15">
      <c r="A35" s="24" t="s">
        <v>102</v>
      </c>
      <c r="L35" s="24" t="s">
        <v>102</v>
      </c>
    </row>
    <row r="36" spans="1:12" ht="15">
      <c r="A36" s="29" t="s">
        <v>23</v>
      </c>
      <c r="L36" s="29" t="s">
        <v>23</v>
      </c>
    </row>
    <row r="37" spans="2:16" ht="15">
      <c r="B37" s="30" t="s">
        <v>17</v>
      </c>
      <c r="C37" s="30" t="s">
        <v>19</v>
      </c>
      <c r="D37" s="30" t="s">
        <v>20</v>
      </c>
      <c r="E37" s="30" t="s">
        <v>21</v>
      </c>
      <c r="M37" s="30" t="s">
        <v>17</v>
      </c>
      <c r="N37" s="30" t="s">
        <v>19</v>
      </c>
      <c r="O37" s="30" t="s">
        <v>20</v>
      </c>
      <c r="P37" s="30" t="s">
        <v>21</v>
      </c>
    </row>
    <row r="38" spans="2:16" ht="15">
      <c r="B38" s="20" t="s">
        <v>52</v>
      </c>
      <c r="C38" s="21">
        <f>A31</f>
        <v>8.720927402158486</v>
      </c>
      <c r="D38" s="31">
        <f>'Input Page'!$A$34</f>
        <v>1.7183</v>
      </c>
      <c r="E38" s="32">
        <f>C38*D38</f>
        <v>14.985169555128925</v>
      </c>
      <c r="M38" s="20" t="s">
        <v>52</v>
      </c>
      <c r="N38" s="21">
        <f>L31</f>
        <v>9.165180630807907</v>
      </c>
      <c r="O38" s="31">
        <f>'Input Page'!$A$34</f>
        <v>1.7183</v>
      </c>
      <c r="P38" s="32">
        <f>N38*O38</f>
        <v>15.748529877917225</v>
      </c>
    </row>
    <row r="39" spans="2:16" ht="17.25">
      <c r="B39" s="20" t="s">
        <v>22</v>
      </c>
      <c r="C39" s="26">
        <f>A13</f>
        <v>8.2091212458287</v>
      </c>
      <c r="D39" s="31">
        <f>'Input Page'!$A$15*'Input Page'!$A$39*'Input Page'!$A$40</f>
        <v>0.8348399999999999</v>
      </c>
      <c r="E39" s="33">
        <f>C39*D39</f>
        <v>6.85330278086763</v>
      </c>
      <c r="M39" s="20" t="s">
        <v>22</v>
      </c>
      <c r="N39" s="26">
        <f>L13</f>
        <v>10.545050055617352</v>
      </c>
      <c r="O39" s="31">
        <f>'Input Page'!$A$15*'Input Page'!$A$39*'Input Page'!$A$40</f>
        <v>0.8348399999999999</v>
      </c>
      <c r="P39" s="33">
        <f>N39*O39</f>
        <v>8.80342958843159</v>
      </c>
    </row>
    <row r="40" spans="2:16" ht="15">
      <c r="B40" s="20" t="s">
        <v>21</v>
      </c>
      <c r="E40" s="34">
        <f>SUM(E38:E39)</f>
        <v>21.838472335996556</v>
      </c>
      <c r="M40" s="20" t="s">
        <v>21</v>
      </c>
      <c r="P40" s="34">
        <f>SUM(P38:P39)</f>
        <v>24.551959466348812</v>
      </c>
    </row>
    <row r="42" spans="1:16" ht="15">
      <c r="A42" s="20" t="s">
        <v>24</v>
      </c>
      <c r="B42" s="30" t="s">
        <v>17</v>
      </c>
      <c r="C42" s="30" t="s">
        <v>19</v>
      </c>
      <c r="D42" s="30" t="s">
        <v>20</v>
      </c>
      <c r="E42" s="30" t="s">
        <v>21</v>
      </c>
      <c r="L42" s="20" t="s">
        <v>24</v>
      </c>
      <c r="M42" s="30" t="s">
        <v>17</v>
      </c>
      <c r="N42" s="30" t="s">
        <v>19</v>
      </c>
      <c r="O42" s="30" t="s">
        <v>20</v>
      </c>
      <c r="P42" s="30" t="s">
        <v>21</v>
      </c>
    </row>
    <row r="43" spans="2:16" ht="15">
      <c r="B43" s="20" t="s">
        <v>39</v>
      </c>
      <c r="C43" s="21">
        <f>A9</f>
        <v>8.799999999999999</v>
      </c>
      <c r="D43" s="31">
        <f>'Input Page'!$A$37</f>
        <v>1.5349949999999999</v>
      </c>
      <c r="E43" s="34">
        <f>C43*D43</f>
        <v>13.507955999999997</v>
      </c>
      <c r="M43" s="20" t="s">
        <v>39</v>
      </c>
      <c r="N43" s="21">
        <f>L9</f>
        <v>9.39</v>
      </c>
      <c r="O43" s="31">
        <f>'Input Page'!$A$37</f>
        <v>1.5349949999999999</v>
      </c>
      <c r="P43" s="34">
        <f>N43*O43</f>
        <v>14.413603049999999</v>
      </c>
    </row>
    <row r="44" spans="2:16" ht="15">
      <c r="B44" s="20" t="s">
        <v>25</v>
      </c>
      <c r="C44" s="21">
        <f>A4</f>
        <v>3.74</v>
      </c>
      <c r="D44" s="31">
        <f>'Input Page'!$A$38</f>
        <v>1.6645195000000002</v>
      </c>
      <c r="E44" s="34">
        <f>C44*D44</f>
        <v>6.225302930000001</v>
      </c>
      <c r="M44" s="20" t="s">
        <v>25</v>
      </c>
      <c r="N44" s="21">
        <f>L4</f>
        <v>4.79</v>
      </c>
      <c r="O44" s="31">
        <f>'Input Page'!$A$38</f>
        <v>1.6645195000000002</v>
      </c>
      <c r="P44" s="34">
        <f>N44*O44</f>
        <v>7.973048405000001</v>
      </c>
    </row>
    <row r="45" spans="2:16" ht="15">
      <c r="B45" s="20" t="s">
        <v>21</v>
      </c>
      <c r="E45" s="34">
        <f>SUM(E43:E44)</f>
        <v>19.733258929999998</v>
      </c>
      <c r="M45" s="20" t="s">
        <v>21</v>
      </c>
      <c r="P45" s="34">
        <f>SUM(P43:P44)</f>
        <v>22.386651455</v>
      </c>
    </row>
    <row r="47" spans="1:16" ht="15">
      <c r="A47" s="20" t="s">
        <v>27</v>
      </c>
      <c r="E47" s="34">
        <f>E40-E45</f>
        <v>2.105213405996558</v>
      </c>
      <c r="L47" s="20" t="s">
        <v>27</v>
      </c>
      <c r="P47" s="34">
        <f>P40-P45</f>
        <v>2.165308011348813</v>
      </c>
    </row>
    <row r="50" spans="1:12" ht="15">
      <c r="A50" s="24" t="s">
        <v>103</v>
      </c>
      <c r="L50" s="24" t="s">
        <v>103</v>
      </c>
    </row>
    <row r="51" spans="1:12" ht="15">
      <c r="A51" s="29" t="s">
        <v>23</v>
      </c>
      <c r="L51" s="29" t="s">
        <v>23</v>
      </c>
    </row>
    <row r="52" spans="2:16" ht="15">
      <c r="B52" s="30" t="s">
        <v>17</v>
      </c>
      <c r="C52" s="30" t="s">
        <v>19</v>
      </c>
      <c r="D52" s="30" t="s">
        <v>20</v>
      </c>
      <c r="E52" s="30" t="s">
        <v>21</v>
      </c>
      <c r="M52" s="30" t="s">
        <v>17</v>
      </c>
      <c r="N52" s="30" t="s">
        <v>19</v>
      </c>
      <c r="O52" s="30" t="s">
        <v>20</v>
      </c>
      <c r="P52" s="30" t="s">
        <v>21</v>
      </c>
    </row>
    <row r="53" spans="2:16" ht="15">
      <c r="B53" s="20" t="s">
        <v>52</v>
      </c>
      <c r="C53" s="21">
        <f>A31</f>
        <v>8.720927402158486</v>
      </c>
      <c r="D53" s="31">
        <f>'Input Page'!$A$34</f>
        <v>1.7183</v>
      </c>
      <c r="E53" s="32">
        <f>C53*D53</f>
        <v>14.985169555128925</v>
      </c>
      <c r="M53" s="20" t="s">
        <v>52</v>
      </c>
      <c r="N53" s="21">
        <f>L31</f>
        <v>9.165180630807907</v>
      </c>
      <c r="O53" s="31">
        <f>'Input Page'!$A$34</f>
        <v>1.7183</v>
      </c>
      <c r="P53" s="32">
        <f>N53*O53</f>
        <v>15.748529877917225</v>
      </c>
    </row>
    <row r="54" spans="2:16" ht="17.25">
      <c r="B54" s="20" t="s">
        <v>99</v>
      </c>
      <c r="C54" s="26">
        <f>A20</f>
        <v>4.473560622914349</v>
      </c>
      <c r="D54" s="31">
        <f>'Input Page'!A39</f>
        <v>1.546</v>
      </c>
      <c r="E54" s="33">
        <f>C54*D54</f>
        <v>6.916124723025584</v>
      </c>
      <c r="M54" s="20" t="s">
        <v>99</v>
      </c>
      <c r="N54" s="26">
        <f>L20</f>
        <v>5.746525027808676</v>
      </c>
      <c r="O54" s="31">
        <f>'Input Page'!A39</f>
        <v>1.546</v>
      </c>
      <c r="P54" s="33">
        <f>N54*O54</f>
        <v>8.884127692992214</v>
      </c>
    </row>
    <row r="55" spans="2:16" ht="15">
      <c r="B55" s="20" t="s">
        <v>21</v>
      </c>
      <c r="E55" s="34">
        <f>SUM(E53:E54)</f>
        <v>21.90129427815451</v>
      </c>
      <c r="M55" s="20" t="s">
        <v>21</v>
      </c>
      <c r="P55" s="34">
        <f>SUM(P53:P54)</f>
        <v>24.632657570909437</v>
      </c>
    </row>
    <row r="57" spans="1:16" ht="15">
      <c r="A57" s="20" t="s">
        <v>24</v>
      </c>
      <c r="B57" s="30" t="s">
        <v>17</v>
      </c>
      <c r="C57" s="30" t="s">
        <v>19</v>
      </c>
      <c r="D57" s="30" t="s">
        <v>20</v>
      </c>
      <c r="E57" s="30" t="s">
        <v>21</v>
      </c>
      <c r="L57" s="20" t="s">
        <v>24</v>
      </c>
      <c r="M57" s="30" t="s">
        <v>17</v>
      </c>
      <c r="N57" s="30" t="s">
        <v>19</v>
      </c>
      <c r="O57" s="30" t="s">
        <v>20</v>
      </c>
      <c r="P57" s="30" t="s">
        <v>21</v>
      </c>
    </row>
    <row r="58" spans="2:16" ht="15">
      <c r="B58" s="20" t="s">
        <v>39</v>
      </c>
      <c r="C58" s="21">
        <f>A9</f>
        <v>8.799999999999999</v>
      </c>
      <c r="D58" s="31">
        <f>'Input Page'!$A$37</f>
        <v>1.5349949999999999</v>
      </c>
      <c r="E58" s="34">
        <f>C58*D58</f>
        <v>13.507955999999997</v>
      </c>
      <c r="M58" s="20" t="s">
        <v>39</v>
      </c>
      <c r="N58" s="21">
        <f>L9</f>
        <v>9.39</v>
      </c>
      <c r="O58" s="31">
        <f>'Input Page'!$A$37</f>
        <v>1.5349949999999999</v>
      </c>
      <c r="P58" s="34">
        <f>N58*O58</f>
        <v>14.413603049999999</v>
      </c>
    </row>
    <row r="59" spans="2:16" ht="15">
      <c r="B59" s="20" t="s">
        <v>25</v>
      </c>
      <c r="C59" s="21">
        <f>A4</f>
        <v>3.74</v>
      </c>
      <c r="D59" s="31">
        <f>'Input Page'!$A$38</f>
        <v>1.6645195000000002</v>
      </c>
      <c r="E59" s="34">
        <f>C59*D59</f>
        <v>6.225302930000001</v>
      </c>
      <c r="M59" s="20" t="s">
        <v>25</v>
      </c>
      <c r="N59" s="21">
        <f>L4</f>
        <v>4.79</v>
      </c>
      <c r="O59" s="31">
        <f>'Input Page'!$A$38</f>
        <v>1.6645195000000002</v>
      </c>
      <c r="P59" s="34">
        <f>N59*O59</f>
        <v>7.973048405000001</v>
      </c>
    </row>
    <row r="60" spans="2:16" ht="15">
      <c r="B60" s="20" t="s">
        <v>21</v>
      </c>
      <c r="E60" s="34">
        <f>SUM(E58:E59)</f>
        <v>19.733258929999998</v>
      </c>
      <c r="M60" s="20" t="s">
        <v>21</v>
      </c>
      <c r="P60" s="34">
        <f>SUM(P58:P59)</f>
        <v>22.386651455</v>
      </c>
    </row>
    <row r="62" spans="1:16" ht="15">
      <c r="A62" s="20" t="s">
        <v>27</v>
      </c>
      <c r="E62" s="34">
        <f>E55-E60</f>
        <v>2.168035348154511</v>
      </c>
      <c r="L62" s="20" t="s">
        <v>27</v>
      </c>
      <c r="P62" s="34">
        <f>P55-P60</f>
        <v>2.246006115909438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0">
      <selection activeCell="L30" sqref="L30"/>
    </sheetView>
  </sheetViews>
  <sheetFormatPr defaultColWidth="9.140625" defaultRowHeight="15"/>
  <cols>
    <col min="1" max="1" width="9.140625" style="20" customWidth="1"/>
    <col min="2" max="2" width="17.140625" style="20" customWidth="1"/>
    <col min="3" max="4" width="9.140625" style="20" customWidth="1"/>
    <col min="5" max="5" width="9.8515625" style="20" customWidth="1"/>
    <col min="6" max="16" width="9.140625" style="20" customWidth="1"/>
    <col min="17" max="17" width="15.421875" style="20" customWidth="1"/>
    <col min="18" max="16384" width="9.140625" style="20" customWidth="1"/>
  </cols>
  <sheetData>
    <row r="1" ht="15">
      <c r="A1" s="36" t="s">
        <v>77</v>
      </c>
    </row>
    <row r="2" spans="1:17" ht="15">
      <c r="A2" s="24" t="s">
        <v>3</v>
      </c>
      <c r="F2" s="24"/>
      <c r="L2" s="24" t="s">
        <v>3</v>
      </c>
      <c r="Q2" s="24"/>
    </row>
    <row r="3" spans="1:13" ht="15">
      <c r="A3" s="20">
        <v>100</v>
      </c>
      <c r="B3" s="20" t="s">
        <v>65</v>
      </c>
      <c r="L3" s="20">
        <v>100</v>
      </c>
      <c r="M3" s="20" t="s">
        <v>65</v>
      </c>
    </row>
    <row r="4" spans="1:17" ht="15">
      <c r="A4" s="21">
        <f>'Input Page'!A5</f>
        <v>3.74</v>
      </c>
      <c r="B4" s="20" t="s">
        <v>66</v>
      </c>
      <c r="F4" s="22"/>
      <c r="L4" s="21">
        <f>'Input Page'!A10</f>
        <v>4.79</v>
      </c>
      <c r="M4" s="20" t="s">
        <v>66</v>
      </c>
      <c r="Q4" s="22"/>
    </row>
    <row r="5" spans="1:17" ht="15">
      <c r="A5" s="21">
        <f>'Input Page'!A6</f>
        <v>3.1</v>
      </c>
      <c r="B5" s="20" t="s">
        <v>67</v>
      </c>
      <c r="F5" s="22"/>
      <c r="L5" s="21">
        <f>'Input Page'!A11</f>
        <v>3.64</v>
      </c>
      <c r="M5" s="20" t="s">
        <v>67</v>
      </c>
      <c r="Q5" s="22"/>
    </row>
    <row r="6" spans="1:17" ht="15">
      <c r="A6" s="21">
        <f>A5+0.19</f>
        <v>3.29</v>
      </c>
      <c r="B6" s="20" t="s">
        <v>0</v>
      </c>
      <c r="F6" s="22"/>
      <c r="L6" s="21">
        <f>L5+0.19</f>
        <v>3.83</v>
      </c>
      <c r="M6" s="20" t="s">
        <v>0</v>
      </c>
      <c r="Q6" s="22"/>
    </row>
    <row r="7" spans="1:17" ht="15">
      <c r="A7" s="20">
        <f>'Input Page'!A7</f>
        <v>5.7</v>
      </c>
      <c r="B7" s="20" t="s">
        <v>68</v>
      </c>
      <c r="F7" s="22"/>
      <c r="L7" s="21">
        <f>'Input Page'!A12</f>
        <v>5.75</v>
      </c>
      <c r="M7" s="20" t="s">
        <v>68</v>
      </c>
      <c r="Q7" s="22"/>
    </row>
    <row r="8" spans="1:17" ht="15">
      <c r="A8" s="21">
        <f>A4+A5+A7</f>
        <v>12.54</v>
      </c>
      <c r="B8" s="20" t="s">
        <v>29</v>
      </c>
      <c r="F8" s="23"/>
      <c r="L8" s="21">
        <f>L4+L5+L7</f>
        <v>14.18</v>
      </c>
      <c r="M8" s="20" t="s">
        <v>29</v>
      </c>
      <c r="Q8" s="23"/>
    </row>
    <row r="9" spans="1:13" ht="15">
      <c r="A9" s="21">
        <f>A8-A4</f>
        <v>8.799999999999999</v>
      </c>
      <c r="B9" s="20" t="s">
        <v>94</v>
      </c>
      <c r="L9" s="21">
        <f>L8-L4</f>
        <v>9.39</v>
      </c>
      <c r="M9" s="20" t="s">
        <v>94</v>
      </c>
    </row>
    <row r="10" spans="1:12" ht="15">
      <c r="A10" s="25"/>
      <c r="L10" s="25"/>
    </row>
    <row r="11" spans="1:12" ht="15">
      <c r="A11" s="24" t="s">
        <v>55</v>
      </c>
      <c r="L11" s="24" t="s">
        <v>55</v>
      </c>
    </row>
    <row r="12" spans="1:13" ht="15">
      <c r="A12" s="22">
        <f>'Input Page'!$A$21</f>
        <v>0.998</v>
      </c>
      <c r="B12" s="20" t="s">
        <v>2</v>
      </c>
      <c r="L12" s="22">
        <f>'Input Page'!$A$21</f>
        <v>0.998</v>
      </c>
      <c r="M12" s="20" t="s">
        <v>2</v>
      </c>
    </row>
    <row r="13" spans="1:13" ht="15">
      <c r="A13" s="8">
        <f>A3*((A4/100)-'Input Page'!$A$27)/(A12-'Input Page'!$A$27)</f>
        <v>3.699248120300752</v>
      </c>
      <c r="B13" s="20" t="s">
        <v>56</v>
      </c>
      <c r="L13" s="8">
        <f>L3*((L4/100)-'Input Page'!$A$27)/(L12-'Input Page'!$A$27)</f>
        <v>4.7518796992481205</v>
      </c>
      <c r="M13" s="20" t="s">
        <v>56</v>
      </c>
    </row>
    <row r="14" spans="1:13" ht="15">
      <c r="A14" s="26">
        <f>A13*A12</f>
        <v>3.6918496240601506</v>
      </c>
      <c r="B14" s="20" t="s">
        <v>5</v>
      </c>
      <c r="L14" s="26">
        <f>L13*L12</f>
        <v>4.742375939849624</v>
      </c>
      <c r="M14" s="20" t="s">
        <v>5</v>
      </c>
    </row>
    <row r="15" spans="1:13" ht="15">
      <c r="A15" s="21">
        <f>(A13-A14)*(A5/(A3-A4))</f>
        <v>0.00023826447481678796</v>
      </c>
      <c r="B15" s="20" t="s">
        <v>7</v>
      </c>
      <c r="L15" s="21">
        <f>(L13-L14)*(L5/(L3-L4))</f>
        <v>0.0003633408697671202</v>
      </c>
      <c r="M15" s="20" t="s">
        <v>7</v>
      </c>
    </row>
    <row r="16" spans="1:13" ht="15">
      <c r="A16" s="21">
        <f>(A13-A14)*(A6/(A3-A4))</f>
        <v>0.00025286778133781686</v>
      </c>
      <c r="B16" s="20" t="s">
        <v>8</v>
      </c>
      <c r="L16" s="21">
        <f>(L13-L14)*(L6/(L3-L4))</f>
        <v>0.0003823064646176018</v>
      </c>
      <c r="M16" s="20" t="s">
        <v>8</v>
      </c>
    </row>
    <row r="17" spans="1:13" ht="15">
      <c r="A17" s="21">
        <f>(A13-A14)*(A9/(A3-A4))</f>
        <v>0.000676363670447656</v>
      </c>
      <c r="B17" s="20" t="s">
        <v>95</v>
      </c>
      <c r="L17" s="21">
        <f>(L13-L14)*(L9/(L3-L4))</f>
        <v>0.0009372996612948514</v>
      </c>
      <c r="M17" s="20" t="s">
        <v>95</v>
      </c>
    </row>
    <row r="19" spans="1:12" ht="15">
      <c r="A19" s="24" t="s">
        <v>80</v>
      </c>
      <c r="L19" s="24" t="s">
        <v>80</v>
      </c>
    </row>
    <row r="20" spans="1:13" ht="15">
      <c r="A20" s="26">
        <f>A3-A13</f>
        <v>96.30075187969925</v>
      </c>
      <c r="B20" s="20" t="s">
        <v>9</v>
      </c>
      <c r="L20" s="26">
        <f>L3-L13</f>
        <v>95.24812030075188</v>
      </c>
      <c r="M20" s="20" t="s">
        <v>9</v>
      </c>
    </row>
    <row r="21" spans="1:13" ht="15">
      <c r="A21" s="26">
        <f>A4-A14</f>
        <v>0.04815037593984961</v>
      </c>
      <c r="B21" t="s">
        <v>5</v>
      </c>
      <c r="L21" s="26">
        <f>L4-L14</f>
        <v>0.047624060150376124</v>
      </c>
      <c r="M21" t="s">
        <v>5</v>
      </c>
    </row>
    <row r="22" spans="1:13" ht="15">
      <c r="A22" s="21">
        <f>A5-A15</f>
        <v>3.0997617355251834</v>
      </c>
      <c r="B22" t="s">
        <v>7</v>
      </c>
      <c r="L22" s="21">
        <f>L5-L15</f>
        <v>3.639636659130233</v>
      </c>
      <c r="M22" t="s">
        <v>7</v>
      </c>
    </row>
    <row r="23" spans="1:13" ht="15">
      <c r="A23" s="21">
        <f>A6-A16</f>
        <v>3.2897471322186624</v>
      </c>
      <c r="B23" t="s">
        <v>8</v>
      </c>
      <c r="L23" s="21">
        <f>L6-L16</f>
        <v>3.8296176935353823</v>
      </c>
      <c r="M23" t="s">
        <v>8</v>
      </c>
    </row>
    <row r="24" spans="1:13" ht="15">
      <c r="A24" s="21">
        <f>A9-A17</f>
        <v>8.799323636329552</v>
      </c>
      <c r="B24" s="20" t="s">
        <v>104</v>
      </c>
      <c r="L24" s="21">
        <f>L9-L17</f>
        <v>9.389062700338705</v>
      </c>
      <c r="M24" s="20" t="s">
        <v>104</v>
      </c>
    </row>
    <row r="26" spans="1:18" ht="15">
      <c r="A26" s="24" t="s">
        <v>62</v>
      </c>
      <c r="G26" s="20" t="s">
        <v>63</v>
      </c>
      <c r="L26" s="24" t="s">
        <v>62</v>
      </c>
      <c r="R26" s="20" t="s">
        <v>63</v>
      </c>
    </row>
    <row r="27" spans="1:19" ht="15">
      <c r="A27" s="21">
        <f>(A23/'Input Page'!$A$31)/(1-'Input Page'!$A$24)</f>
        <v>10.005922295208535</v>
      </c>
      <c r="B27" s="20" t="s">
        <v>69</v>
      </c>
      <c r="G27" s="22">
        <f>A21/A27</f>
        <v>0.0048121876743843035</v>
      </c>
      <c r="H27" s="20" t="s">
        <v>4</v>
      </c>
      <c r="L27" s="21">
        <f>(L23/'Input Page'!$A$31)/(1-'Input Page'!$A$24)</f>
        <v>11.647964272569446</v>
      </c>
      <c r="M27" s="20" t="s">
        <v>69</v>
      </c>
      <c r="R27" s="22">
        <f>L21/L27</f>
        <v>0.0040886166059531225</v>
      </c>
      <c r="S27" s="20" t="s">
        <v>4</v>
      </c>
    </row>
    <row r="28" spans="1:19" ht="15">
      <c r="A28" s="21">
        <f>A27-A24-A21-(A27*'Input Page'!A24)</f>
        <v>0.8282528471972517</v>
      </c>
      <c r="B28" s="20" t="s">
        <v>78</v>
      </c>
      <c r="G28" s="22">
        <f>A23/(A24+A28)</f>
        <v>0.34170044121150955</v>
      </c>
      <c r="H28" s="20" t="s">
        <v>87</v>
      </c>
      <c r="L28" s="21">
        <f>L27-L24-L21-(L27*'Input Page'!$A$24)</f>
        <v>1.826894691085573</v>
      </c>
      <c r="M28" s="20" t="s">
        <v>78</v>
      </c>
      <c r="R28" s="22">
        <f>L23/(L24+L28)</f>
        <v>0.34144367349893</v>
      </c>
      <c r="S28" s="20" t="s">
        <v>87</v>
      </c>
    </row>
    <row r="29" spans="1:19" ht="15">
      <c r="A29" s="27" t="s">
        <v>47</v>
      </c>
      <c r="B29" t="s">
        <v>79</v>
      </c>
      <c r="G29" s="26">
        <f>(A21+A24+A28)/(1-'Input Page'!A24)</f>
        <v>10.005922295208535</v>
      </c>
      <c r="H29" s="20" t="s">
        <v>61</v>
      </c>
      <c r="L29" s="27" t="s">
        <v>47</v>
      </c>
      <c r="M29" t="s">
        <v>79</v>
      </c>
      <c r="R29" s="26">
        <f>(L21+L24+L28)/(1-'Input Page'!$A$24)</f>
        <v>11.647964272569448</v>
      </c>
      <c r="S29" s="20" t="s">
        <v>61</v>
      </c>
    </row>
    <row r="30" spans="7:18" ht="15">
      <c r="G30" s="28"/>
      <c r="R30" s="28"/>
    </row>
    <row r="32" spans="1:12" ht="15">
      <c r="A32" s="24" t="s">
        <v>16</v>
      </c>
      <c r="L32" s="24" t="s">
        <v>16</v>
      </c>
    </row>
    <row r="33" spans="1:12" ht="15">
      <c r="A33" s="29" t="s">
        <v>23</v>
      </c>
      <c r="L33" s="29" t="s">
        <v>23</v>
      </c>
    </row>
    <row r="34" spans="2:16" ht="15">
      <c r="B34" s="30" t="s">
        <v>17</v>
      </c>
      <c r="C34" s="30" t="s">
        <v>19</v>
      </c>
      <c r="D34" s="30" t="s">
        <v>20</v>
      </c>
      <c r="E34" s="30" t="s">
        <v>21</v>
      </c>
      <c r="M34" s="30" t="s">
        <v>17</v>
      </c>
      <c r="N34" s="30" t="s">
        <v>19</v>
      </c>
      <c r="O34" s="30" t="s">
        <v>20</v>
      </c>
      <c r="P34" s="30" t="s">
        <v>21</v>
      </c>
    </row>
    <row r="35" spans="2:16" ht="15">
      <c r="B35" s="20" t="s">
        <v>38</v>
      </c>
      <c r="C35" s="21">
        <f>A27</f>
        <v>10.005922295208535</v>
      </c>
      <c r="D35" s="31">
        <f>'Input Page'!$A$35</f>
        <v>1.7183</v>
      </c>
      <c r="E35" s="32">
        <f>C35*D35</f>
        <v>17.193176279856825</v>
      </c>
      <c r="M35" s="20" t="s">
        <v>38</v>
      </c>
      <c r="N35" s="21">
        <f>L27</f>
        <v>11.647964272569446</v>
      </c>
      <c r="O35" s="31">
        <f>'Input Page'!$A$35</f>
        <v>1.7183</v>
      </c>
      <c r="P35" s="32">
        <f>N35*O35</f>
        <v>20.014697009556077</v>
      </c>
    </row>
    <row r="36" spans="2:16" ht="17.25">
      <c r="B36" s="20" t="s">
        <v>57</v>
      </c>
      <c r="C36" s="26">
        <f>A13</f>
        <v>3.699248120300752</v>
      </c>
      <c r="D36" s="31">
        <f>A12*'Input Page'!$A$39*'Input Page'!$A$41</f>
        <v>2.14464212</v>
      </c>
      <c r="E36" s="33">
        <f>C36*D36</f>
        <v>7.933563331127819</v>
      </c>
      <c r="M36" s="20" t="s">
        <v>57</v>
      </c>
      <c r="N36" s="26">
        <f>L13</f>
        <v>4.7518796992481205</v>
      </c>
      <c r="O36" s="31">
        <f>L12*'Input Page'!$A$39*'Input Page'!$A$41</f>
        <v>2.14464212</v>
      </c>
      <c r="P36" s="33">
        <f>N36*O36</f>
        <v>10.19108135218045</v>
      </c>
    </row>
    <row r="37" spans="2:16" ht="15">
      <c r="B37" s="20" t="s">
        <v>21</v>
      </c>
      <c r="E37" s="34">
        <f>SUM(E35:E36)</f>
        <v>25.126739610984643</v>
      </c>
      <c r="M37" s="20" t="s">
        <v>21</v>
      </c>
      <c r="P37" s="34">
        <f>SUM(P35:P36)</f>
        <v>30.205778361736527</v>
      </c>
    </row>
    <row r="39" spans="1:16" ht="15">
      <c r="A39" s="20" t="s">
        <v>24</v>
      </c>
      <c r="B39" s="30" t="s">
        <v>17</v>
      </c>
      <c r="C39" s="30" t="s">
        <v>19</v>
      </c>
      <c r="D39" s="30" t="s">
        <v>20</v>
      </c>
      <c r="E39" s="30" t="s">
        <v>21</v>
      </c>
      <c r="L39" s="20" t="s">
        <v>24</v>
      </c>
      <c r="M39" s="30" t="s">
        <v>17</v>
      </c>
      <c r="N39" s="30" t="s">
        <v>19</v>
      </c>
      <c r="O39" s="30" t="s">
        <v>20</v>
      </c>
      <c r="P39" s="30" t="s">
        <v>21</v>
      </c>
    </row>
    <row r="40" spans="2:16" ht="15">
      <c r="B40" s="20" t="s">
        <v>39</v>
      </c>
      <c r="C40" s="21">
        <f>A9</f>
        <v>8.799999999999999</v>
      </c>
      <c r="D40" s="31">
        <f>'Input Page'!$A$37</f>
        <v>1.5349949999999999</v>
      </c>
      <c r="E40" s="34">
        <f>C40*D40</f>
        <v>13.507955999999997</v>
      </c>
      <c r="M40" s="20" t="s">
        <v>39</v>
      </c>
      <c r="N40" s="21">
        <f>L9</f>
        <v>9.39</v>
      </c>
      <c r="O40" s="31">
        <f>'Input Page'!$A$37</f>
        <v>1.5349949999999999</v>
      </c>
      <c r="P40" s="34">
        <f>N40*O40</f>
        <v>14.413603049999999</v>
      </c>
    </row>
    <row r="41" spans="2:16" ht="15">
      <c r="B41" s="20" t="s">
        <v>25</v>
      </c>
      <c r="C41" s="21">
        <f>A4</f>
        <v>3.74</v>
      </c>
      <c r="D41" s="31">
        <f>'Input Page'!$A$38</f>
        <v>1.6645195000000002</v>
      </c>
      <c r="E41" s="34">
        <f>C41*D41</f>
        <v>6.225302930000001</v>
      </c>
      <c r="M41" s="20" t="s">
        <v>25</v>
      </c>
      <c r="N41" s="21">
        <f>L4</f>
        <v>4.79</v>
      </c>
      <c r="O41" s="31">
        <f>'Input Page'!$A$38</f>
        <v>1.6645195000000002</v>
      </c>
      <c r="P41" s="34">
        <f>N41*O41</f>
        <v>7.973048405000001</v>
      </c>
    </row>
    <row r="42" spans="2:16" ht="17.25">
      <c r="B42" s="20" t="s">
        <v>64</v>
      </c>
      <c r="C42" s="21">
        <f>A28</f>
        <v>0.8282528471972517</v>
      </c>
      <c r="D42" s="14">
        <f>IF(A29="L",'Input Page'!$A$42,'Input Page'!$A$43)</f>
        <v>0.6617</v>
      </c>
      <c r="E42" s="35">
        <f>C42*D42</f>
        <v>0.5480549089904214</v>
      </c>
      <c r="M42" s="20" t="s">
        <v>64</v>
      </c>
      <c r="N42" s="21">
        <f>L28</f>
        <v>1.826894691085573</v>
      </c>
      <c r="O42" s="14">
        <f>IF(L29="L",'Input Page'!$A$42,'Input Page'!$A$43)</f>
        <v>0.6617</v>
      </c>
      <c r="P42" s="35">
        <f>N42*O42</f>
        <v>1.2088562170913235</v>
      </c>
    </row>
    <row r="43" spans="2:16" ht="15">
      <c r="B43" s="20" t="s">
        <v>21</v>
      </c>
      <c r="E43" s="34">
        <f>SUM(E40:E42)</f>
        <v>20.28131383899042</v>
      </c>
      <c r="M43" s="20" t="s">
        <v>21</v>
      </c>
      <c r="P43" s="34">
        <f>SUM(P40:P42)</f>
        <v>23.595507672091323</v>
      </c>
    </row>
    <row r="45" spans="1:16" ht="15">
      <c r="A45" s="20" t="s">
        <v>27</v>
      </c>
      <c r="E45" s="34">
        <f>E37-E43</f>
        <v>4.845425771994222</v>
      </c>
      <c r="L45" s="20" t="s">
        <v>27</v>
      </c>
      <c r="P45" s="34">
        <f>P37-P43</f>
        <v>6.610270689645205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7">
      <selection activeCell="A32" sqref="A32"/>
    </sheetView>
  </sheetViews>
  <sheetFormatPr defaultColWidth="9.140625" defaultRowHeight="15"/>
  <cols>
    <col min="2" max="2" width="17.140625" style="0" customWidth="1"/>
    <col min="5" max="5" width="9.8515625" style="0" customWidth="1"/>
    <col min="13" max="13" width="17.7109375" style="0" customWidth="1"/>
  </cols>
  <sheetData>
    <row r="1" ht="15">
      <c r="A1" s="17" t="s">
        <v>81</v>
      </c>
    </row>
    <row r="2" spans="1:12" ht="15">
      <c r="A2" s="2" t="s">
        <v>3</v>
      </c>
      <c r="L2" s="2" t="s">
        <v>3</v>
      </c>
    </row>
    <row r="3" spans="1:13" ht="15">
      <c r="A3" s="20">
        <v>100</v>
      </c>
      <c r="B3" t="s">
        <v>65</v>
      </c>
      <c r="L3" s="20">
        <v>100</v>
      </c>
      <c r="M3" t="s">
        <v>65</v>
      </c>
    </row>
    <row r="4" spans="1:13" ht="15">
      <c r="A4" s="21">
        <f>'Input Page'!A5</f>
        <v>3.74</v>
      </c>
      <c r="B4" t="s">
        <v>66</v>
      </c>
      <c r="L4" s="21">
        <f>'Input Page'!A10</f>
        <v>4.79</v>
      </c>
      <c r="M4" t="s">
        <v>66</v>
      </c>
    </row>
    <row r="5" spans="1:13" ht="15">
      <c r="A5" s="21">
        <f>'Input Page'!A6</f>
        <v>3.1</v>
      </c>
      <c r="B5" t="s">
        <v>67</v>
      </c>
      <c r="L5" s="21">
        <f>'Input Page'!A11</f>
        <v>3.64</v>
      </c>
      <c r="M5" t="s">
        <v>67</v>
      </c>
    </row>
    <row r="6" spans="1:13" ht="15">
      <c r="A6" s="21">
        <f>A5+0.19</f>
        <v>3.29</v>
      </c>
      <c r="B6" t="s">
        <v>0</v>
      </c>
      <c r="L6" s="21">
        <f>L5+0.19</f>
        <v>3.83</v>
      </c>
      <c r="M6" t="s">
        <v>0</v>
      </c>
    </row>
    <row r="7" spans="1:13" ht="15">
      <c r="A7" s="20">
        <f>'Input Page'!A7</f>
        <v>5.7</v>
      </c>
      <c r="B7" t="s">
        <v>68</v>
      </c>
      <c r="L7" s="21">
        <f>'Input Page'!A12</f>
        <v>5.75</v>
      </c>
      <c r="M7" t="s">
        <v>68</v>
      </c>
    </row>
    <row r="8" spans="1:13" ht="15">
      <c r="A8" s="1">
        <f>A4+A5+A7</f>
        <v>12.54</v>
      </c>
      <c r="B8" t="s">
        <v>29</v>
      </c>
      <c r="L8" s="1">
        <f>L4+L5+L7</f>
        <v>14.18</v>
      </c>
      <c r="M8" t="s">
        <v>29</v>
      </c>
    </row>
    <row r="9" spans="1:13" ht="15">
      <c r="A9" s="1">
        <f>A8-A4</f>
        <v>8.799999999999999</v>
      </c>
      <c r="B9" s="20" t="s">
        <v>94</v>
      </c>
      <c r="L9" s="1">
        <f>L8-L4</f>
        <v>9.39</v>
      </c>
      <c r="M9" s="20" t="s">
        <v>94</v>
      </c>
    </row>
    <row r="10" spans="1:12" ht="15">
      <c r="A10" s="6"/>
      <c r="L10" s="6"/>
    </row>
    <row r="11" spans="1:12" ht="15">
      <c r="A11" s="2" t="s">
        <v>1</v>
      </c>
      <c r="L11" s="2" t="s">
        <v>1</v>
      </c>
    </row>
    <row r="12" spans="1:13" ht="15">
      <c r="A12" s="22">
        <f>'Input Page'!$A$15</f>
        <v>0.45</v>
      </c>
      <c r="B12" t="s">
        <v>2</v>
      </c>
      <c r="L12" s="22">
        <f>'Input Page'!$A$15</f>
        <v>0.45</v>
      </c>
      <c r="M12" t="s">
        <v>2</v>
      </c>
    </row>
    <row r="13" spans="1:13" ht="15">
      <c r="A13" s="8">
        <f>A3*((A4/100)-'Input Page'!$A$27)/(A12-'Input Page'!$A$27)</f>
        <v>8.2091212458287</v>
      </c>
      <c r="B13" t="s">
        <v>6</v>
      </c>
      <c r="L13" s="8">
        <f>L3*((L4/100)-'Input Page'!$A$27)/(L12-'Input Page'!$A$27)</f>
        <v>10.545050055617352</v>
      </c>
      <c r="M13" t="s">
        <v>6</v>
      </c>
    </row>
    <row r="14" spans="1:13" ht="15">
      <c r="A14" s="7">
        <f>A13*A12</f>
        <v>3.6941045606229146</v>
      </c>
      <c r="B14" t="s">
        <v>5</v>
      </c>
      <c r="L14" s="7">
        <f>L13*L12</f>
        <v>4.745272525027809</v>
      </c>
      <c r="M14" t="s">
        <v>5</v>
      </c>
    </row>
    <row r="15" spans="1:13" ht="15">
      <c r="A15" s="1">
        <f>(A13-A14)*(A5/(A3-A4))</f>
        <v>0.1454036123430078</v>
      </c>
      <c r="B15" t="s">
        <v>7</v>
      </c>
      <c r="L15" s="1">
        <f>(L13-L14)*(L5/(L3-L4))</f>
        <v>0.22173290842711837</v>
      </c>
      <c r="M15" t="s">
        <v>7</v>
      </c>
    </row>
    <row r="16" spans="1:13" ht="15">
      <c r="A16" s="1">
        <f>(A13-A14)*(A6/(A3-A4))</f>
        <v>0.15431544664790184</v>
      </c>
      <c r="B16" t="s">
        <v>8</v>
      </c>
      <c r="L16" s="1">
        <f>(L13-L14)*(L6/(L3-L4))</f>
        <v>0.2333068789219405</v>
      </c>
      <c r="M16" t="s">
        <v>8</v>
      </c>
    </row>
    <row r="17" spans="1:13" ht="15">
      <c r="A17" s="1">
        <f>(A13-A14)*(A9/(A3-A4))</f>
        <v>0.41275864148982855</v>
      </c>
      <c r="B17" s="20" t="s">
        <v>95</v>
      </c>
      <c r="L17" s="1">
        <f>(L13-L14)*(L9/(L3-L4))</f>
        <v>0.5719978049809455</v>
      </c>
      <c r="M17" s="20" t="s">
        <v>95</v>
      </c>
    </row>
    <row r="18" spans="1:13" ht="15">
      <c r="A18" s="1"/>
      <c r="B18" s="20"/>
      <c r="L18" s="1"/>
      <c r="M18" s="20"/>
    </row>
    <row r="19" spans="1:13" ht="15">
      <c r="A19" s="42" t="s">
        <v>99</v>
      </c>
      <c r="B19" s="20"/>
      <c r="L19" s="42" t="s">
        <v>99</v>
      </c>
      <c r="M19" s="20"/>
    </row>
    <row r="20" spans="1:13" ht="15">
      <c r="A20" s="5">
        <f>A14*'Input Page'!A18</f>
        <v>4.473560622914349</v>
      </c>
      <c r="B20" s="20" t="s">
        <v>101</v>
      </c>
      <c r="L20" s="5">
        <f>L14*'Input Page'!A18</f>
        <v>5.746525027808676</v>
      </c>
      <c r="M20" s="20" t="s">
        <v>101</v>
      </c>
    </row>
    <row r="22" spans="1:12" ht="15">
      <c r="A22" s="2" t="s">
        <v>30</v>
      </c>
      <c r="L22" s="2" t="s">
        <v>30</v>
      </c>
    </row>
    <row r="23" spans="1:13" ht="15">
      <c r="A23" s="7">
        <f>A3-A13</f>
        <v>91.7908787541713</v>
      </c>
      <c r="B23" t="s">
        <v>9</v>
      </c>
      <c r="L23" s="7">
        <f>L3-L13</f>
        <v>89.45494994438265</v>
      </c>
      <c r="M23" t="s">
        <v>9</v>
      </c>
    </row>
    <row r="24" spans="1:13" ht="15">
      <c r="A24" s="7">
        <f>A4-A14</f>
        <v>0.04589543937708562</v>
      </c>
      <c r="B24" t="s">
        <v>5</v>
      </c>
      <c r="L24" s="7">
        <f>L4-L14</f>
        <v>0.04472747497219132</v>
      </c>
      <c r="M24" t="s">
        <v>5</v>
      </c>
    </row>
    <row r="25" spans="1:13" ht="15">
      <c r="A25" s="1">
        <f>A5-A15</f>
        <v>2.9545963876569923</v>
      </c>
      <c r="B25" t="s">
        <v>7</v>
      </c>
      <c r="L25" s="1">
        <f>L5-L15</f>
        <v>3.418267091572882</v>
      </c>
      <c r="M25" t="s">
        <v>7</v>
      </c>
    </row>
    <row r="26" spans="1:13" ht="15">
      <c r="A26" s="1">
        <f>A6-A16</f>
        <v>3.1356845533520983</v>
      </c>
      <c r="B26" t="s">
        <v>8</v>
      </c>
      <c r="L26" s="1">
        <f>L6-L16</f>
        <v>3.5966931210780597</v>
      </c>
      <c r="M26" t="s">
        <v>8</v>
      </c>
    </row>
    <row r="27" spans="1:13" ht="15">
      <c r="A27" s="1">
        <f>A9-A17</f>
        <v>8.38724135851017</v>
      </c>
      <c r="B27" s="20" t="s">
        <v>104</v>
      </c>
      <c r="L27" s="1">
        <f>L9-L17</f>
        <v>8.818002195019055</v>
      </c>
      <c r="M27" s="20" t="s">
        <v>104</v>
      </c>
    </row>
    <row r="29" spans="1:19" ht="15">
      <c r="A29" s="2" t="s">
        <v>62</v>
      </c>
      <c r="H29" t="s">
        <v>15</v>
      </c>
      <c r="L29" s="2" t="s">
        <v>62</v>
      </c>
      <c r="S29" t="s">
        <v>15</v>
      </c>
    </row>
    <row r="30" spans="1:20" ht="15">
      <c r="A30" s="1">
        <f>(A26/'Input Page'!$A$31)/(1-'Input Page'!$A$24)</f>
        <v>9.537333637545162</v>
      </c>
      <c r="B30" t="s">
        <v>69</v>
      </c>
      <c r="H30" s="4">
        <f>A24/A30</f>
        <v>0.004812187674384302</v>
      </c>
      <c r="I30" t="s">
        <v>4</v>
      </c>
      <c r="L30" s="1">
        <f>(L26/'Input Page'!$A$31)/(1-'Input Page'!$A$24)</f>
        <v>10.939513112348864</v>
      </c>
      <c r="M30" t="s">
        <v>69</v>
      </c>
      <c r="S30" s="4">
        <f>L24/L30</f>
        <v>0.004088616605953106</v>
      </c>
      <c r="T30" t="s">
        <v>4</v>
      </c>
    </row>
    <row r="31" spans="1:20" ht="15">
      <c r="A31" s="1">
        <f>A30-A24-A27-(A30*'Input Page'!$A$24)</f>
        <v>0.7894648296189155</v>
      </c>
      <c r="B31" t="s">
        <v>70</v>
      </c>
      <c r="H31" s="4">
        <f>A26/(A27+A31)</f>
        <v>0.34170044121150955</v>
      </c>
      <c r="I31" t="s">
        <v>87</v>
      </c>
      <c r="L31" s="1">
        <f>L30-L24-L27-(L30*'Input Page'!$A$24)</f>
        <v>1.7157795096501054</v>
      </c>
      <c r="M31" t="s">
        <v>70</v>
      </c>
      <c r="S31" s="4">
        <f>L26/(L27+L31)</f>
        <v>0.34144367349893007</v>
      </c>
      <c r="T31" t="s">
        <v>87</v>
      </c>
    </row>
    <row r="32" spans="1:20" ht="15">
      <c r="A32" s="19" t="s">
        <v>47</v>
      </c>
      <c r="B32" t="s">
        <v>71</v>
      </c>
      <c r="H32" s="7">
        <f>(A24+A27+A31)/(1-'Input Page'!$A$24)</f>
        <v>9.537333637545164</v>
      </c>
      <c r="I32" t="s">
        <v>13</v>
      </c>
      <c r="L32" s="19" t="s">
        <v>47</v>
      </c>
      <c r="M32" t="s">
        <v>71</v>
      </c>
      <c r="S32" s="7">
        <f>(L24+L27+L31)/(1-'Input Page'!$A$24)</f>
        <v>10.939513112348864</v>
      </c>
      <c r="T32" t="s">
        <v>13</v>
      </c>
    </row>
    <row r="33" spans="8:19" ht="15">
      <c r="H33" s="9"/>
      <c r="S33" s="9"/>
    </row>
    <row r="35" spans="1:12" ht="15">
      <c r="A35" s="2" t="s">
        <v>102</v>
      </c>
      <c r="L35" s="2" t="s">
        <v>102</v>
      </c>
    </row>
    <row r="36" spans="1:12" ht="15">
      <c r="A36" s="11" t="s">
        <v>23</v>
      </c>
      <c r="L36" s="11" t="s">
        <v>23</v>
      </c>
    </row>
    <row r="37" spans="2:16" ht="15">
      <c r="B37" s="10" t="s">
        <v>17</v>
      </c>
      <c r="C37" s="10" t="s">
        <v>19</v>
      </c>
      <c r="D37" s="10" t="s">
        <v>20</v>
      </c>
      <c r="E37" s="10" t="s">
        <v>21</v>
      </c>
      <c r="M37" s="10" t="s">
        <v>17</v>
      </c>
      <c r="N37" s="10" t="s">
        <v>19</v>
      </c>
      <c r="O37" s="10" t="s">
        <v>20</v>
      </c>
      <c r="P37" s="10" t="s">
        <v>21</v>
      </c>
    </row>
    <row r="38" spans="2:16" ht="15">
      <c r="B38" t="s">
        <v>38</v>
      </c>
      <c r="C38" s="1">
        <f>A30</f>
        <v>9.537333637545162</v>
      </c>
      <c r="D38" s="14">
        <f>'Input Page'!$A$35</f>
        <v>1.7183</v>
      </c>
      <c r="E38" s="12">
        <f>C38*D38</f>
        <v>16.388000389393852</v>
      </c>
      <c r="M38" t="s">
        <v>38</v>
      </c>
      <c r="N38" s="1">
        <f>L30</f>
        <v>10.939513112348864</v>
      </c>
      <c r="O38" s="14">
        <f>'Input Page'!$A$35</f>
        <v>1.7183</v>
      </c>
      <c r="P38" s="12">
        <f>N38*O38</f>
        <v>18.797365380949053</v>
      </c>
    </row>
    <row r="39" spans="2:16" ht="17.25">
      <c r="B39" t="s">
        <v>22</v>
      </c>
      <c r="C39" s="7">
        <f>A13</f>
        <v>8.2091212458287</v>
      </c>
      <c r="D39" s="14">
        <f>'Input Page'!$A$15*'Input Page'!$A$39*'Input Page'!$A$40</f>
        <v>0.8348399999999999</v>
      </c>
      <c r="E39" s="15">
        <f>C39*D39</f>
        <v>6.85330278086763</v>
      </c>
      <c r="M39" t="s">
        <v>22</v>
      </c>
      <c r="N39" s="7">
        <f>L13</f>
        <v>10.545050055617352</v>
      </c>
      <c r="O39" s="14">
        <f>'Input Page'!$A$15*'Input Page'!$A$39*'Input Page'!$A$40</f>
        <v>0.8348399999999999</v>
      </c>
      <c r="P39" s="15">
        <f>N39*O39</f>
        <v>8.80342958843159</v>
      </c>
    </row>
    <row r="40" spans="2:16" ht="15">
      <c r="B40" t="s">
        <v>21</v>
      </c>
      <c r="E40" s="13">
        <f>SUM(E38:E39)</f>
        <v>23.24130317026148</v>
      </c>
      <c r="M40" t="s">
        <v>21</v>
      </c>
      <c r="P40" s="13">
        <f>SUM(P38:P39)</f>
        <v>27.600794969380644</v>
      </c>
    </row>
    <row r="42" spans="1:16" ht="15">
      <c r="A42" t="s">
        <v>24</v>
      </c>
      <c r="B42" s="10" t="s">
        <v>17</v>
      </c>
      <c r="C42" s="10" t="s">
        <v>19</v>
      </c>
      <c r="D42" s="10" t="s">
        <v>20</v>
      </c>
      <c r="E42" s="10" t="s">
        <v>21</v>
      </c>
      <c r="L42" t="s">
        <v>24</v>
      </c>
      <c r="M42" s="10" t="s">
        <v>17</v>
      </c>
      <c r="N42" s="10" t="s">
        <v>19</v>
      </c>
      <c r="O42" s="10" t="s">
        <v>20</v>
      </c>
      <c r="P42" s="10" t="s">
        <v>21</v>
      </c>
    </row>
    <row r="43" spans="2:16" ht="15">
      <c r="B43" t="s">
        <v>39</v>
      </c>
      <c r="C43" s="1">
        <f>A9</f>
        <v>8.799999999999999</v>
      </c>
      <c r="D43" s="14">
        <f>'Input Page'!$A$37</f>
        <v>1.5349949999999999</v>
      </c>
      <c r="E43" s="13">
        <f>C43*D43</f>
        <v>13.507955999999997</v>
      </c>
      <c r="M43" t="s">
        <v>39</v>
      </c>
      <c r="N43" s="1">
        <f>L9</f>
        <v>9.39</v>
      </c>
      <c r="O43" s="14">
        <f>'Input Page'!$A$37</f>
        <v>1.5349949999999999</v>
      </c>
      <c r="P43" s="13">
        <f>N43*O43</f>
        <v>14.413603049999999</v>
      </c>
    </row>
    <row r="44" spans="2:16" ht="15">
      <c r="B44" t="s">
        <v>25</v>
      </c>
      <c r="C44" s="1">
        <f>A4</f>
        <v>3.74</v>
      </c>
      <c r="D44" s="14">
        <f>'Input Page'!$A$38</f>
        <v>1.6645195000000002</v>
      </c>
      <c r="E44" s="13">
        <f>C44*D44</f>
        <v>6.225302930000001</v>
      </c>
      <c r="M44" t="s">
        <v>25</v>
      </c>
      <c r="N44" s="1">
        <f>L4</f>
        <v>4.79</v>
      </c>
      <c r="O44" s="14">
        <f>'Input Page'!$A$38</f>
        <v>1.6645195000000002</v>
      </c>
      <c r="P44" s="13">
        <f>N44*O44</f>
        <v>7.973048405000001</v>
      </c>
    </row>
    <row r="45" spans="2:16" ht="17.25">
      <c r="B45" t="s">
        <v>48</v>
      </c>
      <c r="C45" s="1">
        <f>A31</f>
        <v>0.7894648296189155</v>
      </c>
      <c r="D45" s="14">
        <f>IF($A$32="L",'Input Page'!$A$42,'Input Page'!$A$43)</f>
        <v>0.6617</v>
      </c>
      <c r="E45" s="16">
        <f>C45*D45</f>
        <v>0.5223888777588364</v>
      </c>
      <c r="M45" t="s">
        <v>48</v>
      </c>
      <c r="N45" s="1">
        <f>L31</f>
        <v>1.7157795096501054</v>
      </c>
      <c r="O45" s="14">
        <f>IF(L32="L",'Input Page'!$A$42,'Input Page'!$A$43)</f>
        <v>0.6617</v>
      </c>
      <c r="P45" s="16">
        <f>N45*O45</f>
        <v>1.1353313015354747</v>
      </c>
    </row>
    <row r="46" spans="2:16" ht="15">
      <c r="B46" t="s">
        <v>21</v>
      </c>
      <c r="E46" s="13">
        <f>SUM(E43:E45)</f>
        <v>20.255647807758834</v>
      </c>
      <c r="M46" t="s">
        <v>21</v>
      </c>
      <c r="P46" s="13">
        <f>SUM(P43:P45)</f>
        <v>23.521982756535472</v>
      </c>
    </row>
    <row r="48" spans="1:16" ht="15">
      <c r="A48" t="s">
        <v>27</v>
      </c>
      <c r="E48" s="13">
        <f>E40-E46</f>
        <v>2.985655362502648</v>
      </c>
      <c r="L48" t="s">
        <v>27</v>
      </c>
      <c r="P48" s="13">
        <f>P40-P46</f>
        <v>4.078812212845172</v>
      </c>
    </row>
    <row r="51" spans="1:12" ht="15">
      <c r="A51" s="2" t="s">
        <v>103</v>
      </c>
      <c r="L51" s="2" t="s">
        <v>103</v>
      </c>
    </row>
    <row r="52" spans="1:12" ht="15">
      <c r="A52" s="11" t="s">
        <v>23</v>
      </c>
      <c r="L52" s="11" t="s">
        <v>23</v>
      </c>
    </row>
    <row r="53" spans="2:16" ht="15">
      <c r="B53" s="39" t="s">
        <v>17</v>
      </c>
      <c r="C53" s="39" t="s">
        <v>19</v>
      </c>
      <c r="D53" s="39" t="s">
        <v>20</v>
      </c>
      <c r="E53" s="39" t="s">
        <v>21</v>
      </c>
      <c r="M53" s="39" t="s">
        <v>17</v>
      </c>
      <c r="N53" s="39" t="s">
        <v>19</v>
      </c>
      <c r="O53" s="39" t="s">
        <v>20</v>
      </c>
      <c r="P53" s="39" t="s">
        <v>21</v>
      </c>
    </row>
    <row r="54" spans="2:16" ht="15">
      <c r="B54" t="s">
        <v>38</v>
      </c>
      <c r="C54" s="1">
        <f>A30</f>
        <v>9.537333637545162</v>
      </c>
      <c r="D54" s="14">
        <f>'Input Page'!$A$35</f>
        <v>1.7183</v>
      </c>
      <c r="E54" s="12">
        <f>C54*D54</f>
        <v>16.388000389393852</v>
      </c>
      <c r="M54" t="s">
        <v>38</v>
      </c>
      <c r="N54" s="1">
        <f>L30</f>
        <v>10.939513112348864</v>
      </c>
      <c r="O54" s="14">
        <f>'Input Page'!$A$35</f>
        <v>1.7183</v>
      </c>
      <c r="P54" s="12">
        <f>N54*O54</f>
        <v>18.797365380949053</v>
      </c>
    </row>
    <row r="55" spans="2:16" ht="17.25">
      <c r="B55" t="s">
        <v>99</v>
      </c>
      <c r="C55" s="7">
        <f>A20</f>
        <v>4.473560622914349</v>
      </c>
      <c r="D55" s="14">
        <f>'Input Page'!A39</f>
        <v>1.546</v>
      </c>
      <c r="E55" s="15">
        <f>C55*D55</f>
        <v>6.916124723025584</v>
      </c>
      <c r="M55" t="s">
        <v>99</v>
      </c>
      <c r="N55" s="7">
        <f>L20</f>
        <v>5.746525027808676</v>
      </c>
      <c r="O55" s="14">
        <f>'Input Page'!A39</f>
        <v>1.546</v>
      </c>
      <c r="P55" s="15">
        <f>N55*O55</f>
        <v>8.884127692992214</v>
      </c>
    </row>
    <row r="56" spans="2:16" ht="15">
      <c r="B56" t="s">
        <v>21</v>
      </c>
      <c r="E56" s="13">
        <f>SUM(E54:E55)</f>
        <v>23.304125112419435</v>
      </c>
      <c r="M56" t="s">
        <v>21</v>
      </c>
      <c r="P56" s="13">
        <f>SUM(P54:P55)</f>
        <v>27.68149307394127</v>
      </c>
    </row>
    <row r="58" spans="1:16" ht="15">
      <c r="A58" t="s">
        <v>24</v>
      </c>
      <c r="B58" s="39" t="s">
        <v>17</v>
      </c>
      <c r="C58" s="39" t="s">
        <v>19</v>
      </c>
      <c r="D58" s="39" t="s">
        <v>20</v>
      </c>
      <c r="E58" s="39" t="s">
        <v>21</v>
      </c>
      <c r="L58" t="s">
        <v>24</v>
      </c>
      <c r="M58" s="39" t="s">
        <v>17</v>
      </c>
      <c r="N58" s="39" t="s">
        <v>19</v>
      </c>
      <c r="O58" s="39" t="s">
        <v>20</v>
      </c>
      <c r="P58" s="39" t="s">
        <v>21</v>
      </c>
    </row>
    <row r="59" spans="2:16" ht="15">
      <c r="B59" t="s">
        <v>39</v>
      </c>
      <c r="C59" s="1">
        <f>A9</f>
        <v>8.799999999999999</v>
      </c>
      <c r="D59" s="14">
        <f>'Input Page'!$A$37</f>
        <v>1.5349949999999999</v>
      </c>
      <c r="E59" s="13">
        <f>C59*D59</f>
        <v>13.507955999999997</v>
      </c>
      <c r="M59" t="s">
        <v>39</v>
      </c>
      <c r="N59" s="1">
        <f>L9</f>
        <v>9.39</v>
      </c>
      <c r="O59" s="14">
        <f>'Input Page'!$A$37</f>
        <v>1.5349949999999999</v>
      </c>
      <c r="P59" s="13">
        <f>N59*O59</f>
        <v>14.413603049999999</v>
      </c>
    </row>
    <row r="60" spans="2:16" ht="15">
      <c r="B60" t="s">
        <v>25</v>
      </c>
      <c r="C60" s="1">
        <f>A4</f>
        <v>3.74</v>
      </c>
      <c r="D60" s="14">
        <f>'Input Page'!$A$38</f>
        <v>1.6645195000000002</v>
      </c>
      <c r="E60" s="13">
        <f>C60*D60</f>
        <v>6.225302930000001</v>
      </c>
      <c r="M60" t="s">
        <v>25</v>
      </c>
      <c r="N60" s="1">
        <f>L4</f>
        <v>4.79</v>
      </c>
      <c r="O60" s="14">
        <f>'Input Page'!$A$38</f>
        <v>1.6645195000000002</v>
      </c>
      <c r="P60" s="13">
        <f>N60*O60</f>
        <v>7.973048405000001</v>
      </c>
    </row>
    <row r="61" spans="2:16" ht="17.25">
      <c r="B61" t="s">
        <v>48</v>
      </c>
      <c r="C61" s="1">
        <f>A31</f>
        <v>0.7894648296189155</v>
      </c>
      <c r="D61" s="14">
        <f>IF($A$32="L",'Input Page'!$A$42,'Input Page'!$A$43)</f>
        <v>0.6617</v>
      </c>
      <c r="E61" s="16">
        <f>C61*D61</f>
        <v>0.5223888777588364</v>
      </c>
      <c r="M61" t="s">
        <v>48</v>
      </c>
      <c r="N61" s="1">
        <f>L31</f>
        <v>1.7157795096501054</v>
      </c>
      <c r="O61" s="14">
        <f>IF($A$32="L",'Input Page'!$A$42,'Input Page'!$A$43)</f>
        <v>0.6617</v>
      </c>
      <c r="P61" s="16">
        <f>N61*O61</f>
        <v>1.1353313015354747</v>
      </c>
    </row>
    <row r="62" spans="2:16" ht="15">
      <c r="B62" t="s">
        <v>21</v>
      </c>
      <c r="E62" s="13">
        <f>SUM(E59:E61)</f>
        <v>20.255647807758834</v>
      </c>
      <c r="M62" t="s">
        <v>21</v>
      </c>
      <c r="P62" s="13">
        <f>SUM(P59:P61)</f>
        <v>23.521982756535472</v>
      </c>
    </row>
    <row r="64" spans="1:16" ht="15">
      <c r="A64" t="s">
        <v>27</v>
      </c>
      <c r="E64" s="13">
        <f>E56-E62</f>
        <v>3.048477304660601</v>
      </c>
      <c r="L64" t="s">
        <v>27</v>
      </c>
      <c r="P64" s="13">
        <f>P56-P62</f>
        <v>4.159510317405797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A31" sqref="A31"/>
    </sheetView>
  </sheetViews>
  <sheetFormatPr defaultColWidth="9.140625" defaultRowHeight="15"/>
  <cols>
    <col min="2" max="2" width="17.140625" style="0" customWidth="1"/>
    <col min="5" max="5" width="9.8515625" style="0" customWidth="1"/>
    <col min="7" max="7" width="3.57421875" style="0" customWidth="1"/>
  </cols>
  <sheetData>
    <row r="1" ht="15">
      <c r="A1" s="17" t="s">
        <v>82</v>
      </c>
    </row>
    <row r="2" spans="1:19" ht="15">
      <c r="A2" s="2" t="s">
        <v>3</v>
      </c>
      <c r="G2" s="2"/>
      <c r="M2" s="2" t="s">
        <v>3</v>
      </c>
      <c r="S2" s="2"/>
    </row>
    <row r="3" spans="1:14" ht="15">
      <c r="A3" s="20">
        <v>100</v>
      </c>
      <c r="B3" t="s">
        <v>65</v>
      </c>
      <c r="M3" s="20">
        <v>100</v>
      </c>
      <c r="N3" t="s">
        <v>65</v>
      </c>
    </row>
    <row r="4" spans="1:19" ht="15">
      <c r="A4" s="21">
        <f>'Input Page'!A5</f>
        <v>3.74</v>
      </c>
      <c r="B4" t="s">
        <v>66</v>
      </c>
      <c r="G4" s="22"/>
      <c r="M4" s="21">
        <f>'Input Page'!A10</f>
        <v>4.79</v>
      </c>
      <c r="N4" t="s">
        <v>66</v>
      </c>
      <c r="S4" s="22"/>
    </row>
    <row r="5" spans="1:19" ht="15">
      <c r="A5" s="21">
        <f>'Input Page'!A6</f>
        <v>3.1</v>
      </c>
      <c r="B5" t="s">
        <v>67</v>
      </c>
      <c r="G5" s="22"/>
      <c r="M5" s="21">
        <f>'Input Page'!A11</f>
        <v>3.64</v>
      </c>
      <c r="N5" t="s">
        <v>67</v>
      </c>
      <c r="S5" s="22"/>
    </row>
    <row r="6" spans="1:19" ht="15">
      <c r="A6" s="21">
        <f>A5+0.19</f>
        <v>3.29</v>
      </c>
      <c r="B6" t="s">
        <v>0</v>
      </c>
      <c r="G6" s="23"/>
      <c r="M6" s="21">
        <f>M5+0.19</f>
        <v>3.83</v>
      </c>
      <c r="N6" t="s">
        <v>0</v>
      </c>
      <c r="S6" s="23"/>
    </row>
    <row r="7" spans="1:19" ht="15">
      <c r="A7" s="21">
        <f>'Input Page'!A7</f>
        <v>5.7</v>
      </c>
      <c r="B7" t="s">
        <v>68</v>
      </c>
      <c r="G7" s="22"/>
      <c r="M7" s="21">
        <f>'Input Page'!A12</f>
        <v>5.75</v>
      </c>
      <c r="N7" t="s">
        <v>68</v>
      </c>
      <c r="S7" s="22"/>
    </row>
    <row r="8" spans="1:19" ht="15">
      <c r="A8" s="1">
        <f>A4+A5+A7</f>
        <v>12.54</v>
      </c>
      <c r="B8" t="s">
        <v>29</v>
      </c>
      <c r="G8" s="3"/>
      <c r="M8" s="1">
        <f>M4+M5+M7</f>
        <v>14.18</v>
      </c>
      <c r="N8" t="s">
        <v>29</v>
      </c>
      <c r="S8" s="3"/>
    </row>
    <row r="9" spans="1:14" ht="15">
      <c r="A9" s="1">
        <f>A8-A4</f>
        <v>8.799999999999999</v>
      </c>
      <c r="B9" s="20" t="s">
        <v>94</v>
      </c>
      <c r="M9" s="1">
        <f>M8-M4</f>
        <v>9.39</v>
      </c>
      <c r="N9" s="20" t="s">
        <v>94</v>
      </c>
    </row>
    <row r="10" spans="1:14" ht="15">
      <c r="A10" s="5">
        <f>A4-(A6*'Input Page'!$A$30)</f>
        <v>0.21311999999999998</v>
      </c>
      <c r="B10" t="s">
        <v>28</v>
      </c>
      <c r="M10" s="5">
        <f>M4-(M6*'Input Page'!$A$30)</f>
        <v>0.68424</v>
      </c>
      <c r="N10" t="s">
        <v>28</v>
      </c>
    </row>
    <row r="11" spans="1:14" ht="15">
      <c r="A11" s="6">
        <f>A10/A14</f>
        <v>0.21354709418837672</v>
      </c>
      <c r="B11" t="s">
        <v>58</v>
      </c>
      <c r="M11" s="6">
        <f>M10/M14</f>
        <v>0.6856112224448897</v>
      </c>
      <c r="N11" t="s">
        <v>58</v>
      </c>
    </row>
    <row r="12" spans="1:13" ht="15">
      <c r="A12" s="6"/>
      <c r="M12" s="6"/>
    </row>
    <row r="13" spans="1:13" ht="15">
      <c r="A13" s="2" t="s">
        <v>55</v>
      </c>
      <c r="M13" s="2" t="s">
        <v>55</v>
      </c>
    </row>
    <row r="14" spans="1:14" ht="15">
      <c r="A14" s="22">
        <f>'Input Page'!$A$21</f>
        <v>0.998</v>
      </c>
      <c r="B14" t="s">
        <v>2</v>
      </c>
      <c r="M14" s="22">
        <f>'Input Page'!$A$21</f>
        <v>0.998</v>
      </c>
      <c r="N14" t="s">
        <v>2</v>
      </c>
    </row>
    <row r="15" spans="1:14" ht="15">
      <c r="A15" s="8">
        <f>A11</f>
        <v>0.21354709418837672</v>
      </c>
      <c r="B15" t="s">
        <v>56</v>
      </c>
      <c r="M15" s="8">
        <f>M11</f>
        <v>0.6856112224448897</v>
      </c>
      <c r="N15" t="s">
        <v>56</v>
      </c>
    </row>
    <row r="16" spans="1:14" ht="15">
      <c r="A16" s="7">
        <f>A10</f>
        <v>0.21311999999999998</v>
      </c>
      <c r="B16" t="s">
        <v>5</v>
      </c>
      <c r="M16" s="7">
        <f>M10</f>
        <v>0.68424</v>
      </c>
      <c r="N16" t="s">
        <v>5</v>
      </c>
    </row>
    <row r="17" spans="1:14" ht="15">
      <c r="A17" s="1">
        <f>(A15-A16)*(A5/(A3-A4))</f>
        <v>1.3754331850902945E-05</v>
      </c>
      <c r="B17" t="s">
        <v>7</v>
      </c>
      <c r="M17" s="1">
        <f>(M15-M16)*(M5/(M3-M4))</f>
        <v>5.242358680179245E-05</v>
      </c>
      <c r="N17" t="s">
        <v>7</v>
      </c>
    </row>
    <row r="18" spans="1:14" ht="15">
      <c r="A18" s="1">
        <f>(A15-A16)*(A6/(A3-A4))</f>
        <v>1.459733928692603E-05</v>
      </c>
      <c r="B18" t="s">
        <v>8</v>
      </c>
      <c r="M18" s="1">
        <f>(M15-M16)*(M6/(M3-M4))</f>
        <v>5.515998281617173E-05</v>
      </c>
      <c r="N18" t="s">
        <v>8</v>
      </c>
    </row>
    <row r="19" spans="1:14" ht="15">
      <c r="A19" s="1">
        <f>(A15-A16)*(A9/(A3-A4))</f>
        <v>3.9044554931595455E-05</v>
      </c>
      <c r="B19" s="20" t="s">
        <v>95</v>
      </c>
      <c r="M19" s="1">
        <f>(M15-M16)*(M9/(M3-M4))</f>
        <v>0.0001352355714474811</v>
      </c>
      <c r="N19" s="20" t="s">
        <v>95</v>
      </c>
    </row>
    <row r="21" spans="1:13" ht="15">
      <c r="A21" s="2" t="s">
        <v>80</v>
      </c>
      <c r="M21" s="2" t="s">
        <v>80</v>
      </c>
    </row>
    <row r="22" spans="1:14" ht="15">
      <c r="A22" s="7">
        <f>A3-A15</f>
        <v>99.78645290581163</v>
      </c>
      <c r="B22" t="s">
        <v>9</v>
      </c>
      <c r="M22" s="7">
        <f>M3-M15</f>
        <v>99.31438877755511</v>
      </c>
      <c r="N22" t="s">
        <v>9</v>
      </c>
    </row>
    <row r="23" spans="1:14" ht="15">
      <c r="A23" s="7">
        <f>A4-A16</f>
        <v>3.5268800000000002</v>
      </c>
      <c r="B23" t="s">
        <v>5</v>
      </c>
      <c r="M23" s="7">
        <f>M4-M16</f>
        <v>4.10576</v>
      </c>
      <c r="N23" t="s">
        <v>5</v>
      </c>
    </row>
    <row r="24" spans="1:14" ht="15">
      <c r="A24" s="1">
        <f>A5-A17</f>
        <v>3.0999862456681493</v>
      </c>
      <c r="B24" t="s">
        <v>7</v>
      </c>
      <c r="M24" s="1">
        <f>M5-M17</f>
        <v>3.6399475764131983</v>
      </c>
      <c r="N24" t="s">
        <v>7</v>
      </c>
    </row>
    <row r="25" spans="1:14" ht="15">
      <c r="A25" s="1">
        <f>A6-A18</f>
        <v>3.289985402660713</v>
      </c>
      <c r="B25" t="s">
        <v>8</v>
      </c>
      <c r="M25" s="1">
        <f>M6-M18</f>
        <v>3.829944840017184</v>
      </c>
      <c r="N25" t="s">
        <v>8</v>
      </c>
    </row>
    <row r="26" spans="1:14" ht="15">
      <c r="A26" s="1">
        <f>A9-A19</f>
        <v>8.799960955445068</v>
      </c>
      <c r="B26" s="20" t="s">
        <v>104</v>
      </c>
      <c r="M26" s="1">
        <f>M9-M19</f>
        <v>9.389864764428554</v>
      </c>
      <c r="N26" s="20" t="s">
        <v>104</v>
      </c>
    </row>
    <row r="28" spans="1:20" ht="15">
      <c r="A28" s="2" t="s">
        <v>10</v>
      </c>
      <c r="H28" t="s">
        <v>15</v>
      </c>
      <c r="M28" s="2" t="s">
        <v>10</v>
      </c>
      <c r="T28" t="s">
        <v>15</v>
      </c>
    </row>
    <row r="29" spans="1:21" ht="15">
      <c r="A29" s="1">
        <f>A25/'Input Page'!$A$29</f>
        <v>13.159941610642852</v>
      </c>
      <c r="B29" t="s">
        <v>11</v>
      </c>
      <c r="H29" s="4">
        <f>A23/A29</f>
        <v>0.2680011890894488</v>
      </c>
      <c r="I29" t="s">
        <v>4</v>
      </c>
      <c r="M29" s="1">
        <f>M25/'Input Page'!$A$29</f>
        <v>15.319779360068736</v>
      </c>
      <c r="N29" t="s">
        <v>11</v>
      </c>
      <c r="T29" s="4">
        <f>M23/M29</f>
        <v>0.26800385981417807</v>
      </c>
      <c r="U29" t="s">
        <v>4</v>
      </c>
    </row>
    <row r="30" spans="1:21" ht="15">
      <c r="A30" s="1">
        <f>A29-A23-A26-(A29*'Input Page'!$A$24)</f>
        <v>0.39882258204656984</v>
      </c>
      <c r="B30" t="s">
        <v>12</v>
      </c>
      <c r="H30" s="4">
        <f>A25/(A26+A30)</f>
        <v>0.35765439954659917</v>
      </c>
      <c r="I30" t="s">
        <v>87</v>
      </c>
      <c r="M30" s="1">
        <f>M29-M23-M26-(M29*'Input Page'!$A$24)</f>
        <v>1.3186018767579144</v>
      </c>
      <c r="N30" t="s">
        <v>12</v>
      </c>
      <c r="T30" s="4">
        <f>M25/(M26+M30)</f>
        <v>0.3576557660726706</v>
      </c>
      <c r="U30" t="s">
        <v>87</v>
      </c>
    </row>
    <row r="31" spans="1:21" ht="15">
      <c r="A31" s="19" t="s">
        <v>47</v>
      </c>
      <c r="B31" t="s">
        <v>59</v>
      </c>
      <c r="H31" s="7">
        <f>(A23+A26+A30)/(1-'Input Page'!$A$24)</f>
        <v>13.159941610642852</v>
      </c>
      <c r="I31" t="s">
        <v>13</v>
      </c>
      <c r="M31" s="19" t="s">
        <v>47</v>
      </c>
      <c r="N31" t="s">
        <v>59</v>
      </c>
      <c r="T31" s="7">
        <f>(M23+M26+M30)/(1-'Input Page'!$A$24)</f>
        <v>15.319779360068738</v>
      </c>
      <c r="U31" t="s">
        <v>13</v>
      </c>
    </row>
    <row r="32" spans="8:21" ht="15">
      <c r="H32" s="9">
        <f>A23/A25</f>
        <v>1.0720047563577952</v>
      </c>
      <c r="I32" t="s">
        <v>14</v>
      </c>
      <c r="T32" s="9">
        <f>M23/M25</f>
        <v>1.0720154392567123</v>
      </c>
      <c r="U32" t="s">
        <v>14</v>
      </c>
    </row>
    <row r="33" spans="1:13" ht="15">
      <c r="A33" s="2" t="s">
        <v>16</v>
      </c>
      <c r="M33" s="2" t="s">
        <v>16</v>
      </c>
    </row>
    <row r="34" spans="1:13" ht="15">
      <c r="A34" s="11" t="s">
        <v>23</v>
      </c>
      <c r="M34" s="11" t="s">
        <v>23</v>
      </c>
    </row>
    <row r="35" spans="2:17" ht="15">
      <c r="B35" s="10" t="s">
        <v>17</v>
      </c>
      <c r="C35" s="10" t="s">
        <v>19</v>
      </c>
      <c r="D35" s="10" t="s">
        <v>20</v>
      </c>
      <c r="E35" s="10" t="s">
        <v>21</v>
      </c>
      <c r="N35" s="10" t="s">
        <v>17</v>
      </c>
      <c r="O35" s="10" t="s">
        <v>19</v>
      </c>
      <c r="P35" s="10" t="s">
        <v>20</v>
      </c>
      <c r="Q35" s="10" t="s">
        <v>21</v>
      </c>
    </row>
    <row r="36" spans="2:17" ht="15">
      <c r="B36" t="s">
        <v>18</v>
      </c>
      <c r="C36" s="1">
        <f>A29</f>
        <v>13.159941610642852</v>
      </c>
      <c r="D36" s="14">
        <f>'Input Page'!$A$36</f>
        <v>1.8722</v>
      </c>
      <c r="E36" s="12">
        <f>C36*D36</f>
        <v>24.638042683445548</v>
      </c>
      <c r="N36" t="s">
        <v>18</v>
      </c>
      <c r="O36" s="1">
        <f>M29</f>
        <v>15.319779360068736</v>
      </c>
      <c r="P36" s="14">
        <f>'Input Page'!$A$36</f>
        <v>1.8722</v>
      </c>
      <c r="Q36" s="12">
        <f>O36*P36</f>
        <v>28.68169091792069</v>
      </c>
    </row>
    <row r="37" spans="2:17" ht="17.25">
      <c r="B37" t="s">
        <v>57</v>
      </c>
      <c r="C37" s="7">
        <f>A15</f>
        <v>0.21354709418837672</v>
      </c>
      <c r="D37" s="14">
        <f>'Input Page'!$A$21*'Input Page'!$A$39*'Input Page'!$A$41</f>
        <v>2.14464212</v>
      </c>
      <c r="E37" s="15">
        <f>C37*D37</f>
        <v>0.4579820927999999</v>
      </c>
      <c r="N37" t="s">
        <v>57</v>
      </c>
      <c r="O37" s="7">
        <f>M15</f>
        <v>0.6856112224448897</v>
      </c>
      <c r="P37" s="14">
        <f>'Input Page'!$A$21*'Input Page'!$A$39*'Input Page'!$A$41</f>
        <v>2.14464212</v>
      </c>
      <c r="Q37" s="15">
        <f>O37*P37</f>
        <v>1.4703907055999998</v>
      </c>
    </row>
    <row r="38" spans="2:17" ht="15">
      <c r="B38" t="s">
        <v>21</v>
      </c>
      <c r="E38" s="13">
        <f>SUM(E36:E37)</f>
        <v>25.096024776245546</v>
      </c>
      <c r="N38" t="s">
        <v>21</v>
      </c>
      <c r="Q38" s="13">
        <f>SUM(Q36:Q37)</f>
        <v>30.15208162352069</v>
      </c>
    </row>
    <row r="40" spans="1:17" ht="15">
      <c r="A40" t="s">
        <v>24</v>
      </c>
      <c r="B40" s="10" t="s">
        <v>17</v>
      </c>
      <c r="C40" s="10" t="s">
        <v>19</v>
      </c>
      <c r="D40" s="10" t="s">
        <v>20</v>
      </c>
      <c r="E40" s="10" t="s">
        <v>21</v>
      </c>
      <c r="M40" t="s">
        <v>24</v>
      </c>
      <c r="N40" s="10" t="s">
        <v>17</v>
      </c>
      <c r="O40" s="10" t="s">
        <v>19</v>
      </c>
      <c r="P40" s="10" t="s">
        <v>20</v>
      </c>
      <c r="Q40" s="10" t="s">
        <v>21</v>
      </c>
    </row>
    <row r="41" spans="2:17" ht="15">
      <c r="B41" t="s">
        <v>39</v>
      </c>
      <c r="C41" s="1">
        <f>A9</f>
        <v>8.799999999999999</v>
      </c>
      <c r="D41" s="14">
        <f>'Input Page'!$A$37</f>
        <v>1.5349949999999999</v>
      </c>
      <c r="E41" s="13">
        <f>C41*D41</f>
        <v>13.507955999999997</v>
      </c>
      <c r="N41" t="s">
        <v>39</v>
      </c>
      <c r="O41" s="1">
        <f>M9</f>
        <v>9.39</v>
      </c>
      <c r="P41" s="14">
        <f>'Input Page'!$A$37</f>
        <v>1.5349949999999999</v>
      </c>
      <c r="Q41" s="13">
        <f>O41*P41</f>
        <v>14.413603049999999</v>
      </c>
    </row>
    <row r="42" spans="2:17" ht="15">
      <c r="B42" t="s">
        <v>25</v>
      </c>
      <c r="C42" s="1">
        <f>A4</f>
        <v>3.74</v>
      </c>
      <c r="D42" s="14">
        <f>'Input Page'!$A$38</f>
        <v>1.6645195000000002</v>
      </c>
      <c r="E42" s="13">
        <f>C42*D42</f>
        <v>6.225302930000001</v>
      </c>
      <c r="N42" t="s">
        <v>25</v>
      </c>
      <c r="O42" s="1">
        <f>M4</f>
        <v>4.79</v>
      </c>
      <c r="P42" s="14">
        <f>'Input Page'!$A$38</f>
        <v>1.6645195000000002</v>
      </c>
      <c r="Q42" s="13">
        <f>O42*P42</f>
        <v>7.973048405000001</v>
      </c>
    </row>
    <row r="43" spans="2:17" ht="17.25">
      <c r="B43" t="s">
        <v>48</v>
      </c>
      <c r="C43" s="1">
        <f>A30</f>
        <v>0.39882258204656984</v>
      </c>
      <c r="D43" s="14">
        <f>IF(A31="L",'Input Page'!$A$42,'Input Page'!$A$43)</f>
        <v>0.6617</v>
      </c>
      <c r="E43" s="16">
        <f>C43*D43</f>
        <v>0.26390090254021525</v>
      </c>
      <c r="N43" t="s">
        <v>48</v>
      </c>
      <c r="O43" s="1">
        <f>M30</f>
        <v>1.3186018767579144</v>
      </c>
      <c r="P43" s="14">
        <f>IF(M31="L",'Input Page'!$A$42,'Input Page'!$A$43)</f>
        <v>0.6617</v>
      </c>
      <c r="Q43" s="16">
        <f>O43*P43</f>
        <v>0.8725188618507119</v>
      </c>
    </row>
    <row r="44" spans="2:17" ht="15">
      <c r="B44" t="s">
        <v>21</v>
      </c>
      <c r="E44" s="13">
        <f>SUM(E41:E43)</f>
        <v>19.997159832540213</v>
      </c>
      <c r="N44" t="s">
        <v>21</v>
      </c>
      <c r="Q44" s="13">
        <f>SUM(Q41:Q43)</f>
        <v>23.25917031685071</v>
      </c>
    </row>
    <row r="46" spans="1:17" ht="15">
      <c r="A46" t="s">
        <v>27</v>
      </c>
      <c r="E46" s="13">
        <f>E38-E44</f>
        <v>5.098864943705333</v>
      </c>
      <c r="M46" t="s">
        <v>27</v>
      </c>
      <c r="Q46" s="13">
        <f>Q38-Q44</f>
        <v>6.89291130666998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PageLayoutView="0" workbookViewId="0" topLeftCell="A34">
      <selection activeCell="A34" sqref="A34"/>
    </sheetView>
  </sheetViews>
  <sheetFormatPr defaultColWidth="9.140625" defaultRowHeight="15"/>
  <cols>
    <col min="2" max="2" width="17.140625" style="0" customWidth="1"/>
    <col min="5" max="5" width="9.8515625" style="0" customWidth="1"/>
    <col min="6" max="6" width="7.57421875" style="0" customWidth="1"/>
    <col min="7" max="7" width="6.00390625" style="0" customWidth="1"/>
    <col min="14" max="14" width="18.7109375" style="0" customWidth="1"/>
    <col min="19" max="19" width="5.421875" style="0" customWidth="1"/>
  </cols>
  <sheetData>
    <row r="1" ht="15">
      <c r="A1" s="17" t="s">
        <v>83</v>
      </c>
    </row>
    <row r="2" spans="1:19" ht="15">
      <c r="A2" s="2" t="s">
        <v>3</v>
      </c>
      <c r="G2" s="2"/>
      <c r="M2" s="2" t="s">
        <v>3</v>
      </c>
      <c r="S2" s="2"/>
    </row>
    <row r="3" spans="1:14" ht="15">
      <c r="A3" s="20">
        <v>100</v>
      </c>
      <c r="B3" t="s">
        <v>65</v>
      </c>
      <c r="M3" s="20">
        <v>100</v>
      </c>
      <c r="N3" t="s">
        <v>65</v>
      </c>
    </row>
    <row r="4" spans="1:19" ht="15">
      <c r="A4" s="21">
        <f>'Input Page'!A5</f>
        <v>3.74</v>
      </c>
      <c r="B4" t="s">
        <v>66</v>
      </c>
      <c r="G4" s="22"/>
      <c r="M4" s="21">
        <f>'Input Page'!A10</f>
        <v>4.79</v>
      </c>
      <c r="N4" t="s">
        <v>66</v>
      </c>
      <c r="S4" s="22"/>
    </row>
    <row r="5" spans="1:19" ht="15">
      <c r="A5" s="21">
        <f>'Input Page'!A6</f>
        <v>3.1</v>
      </c>
      <c r="B5" t="s">
        <v>67</v>
      </c>
      <c r="G5" s="22"/>
      <c r="M5" s="21">
        <f>'Input Page'!A11</f>
        <v>3.64</v>
      </c>
      <c r="N5" t="s">
        <v>67</v>
      </c>
      <c r="S5" s="22"/>
    </row>
    <row r="6" spans="1:19" ht="15">
      <c r="A6" s="21">
        <f>A5+0.19</f>
        <v>3.29</v>
      </c>
      <c r="B6" t="s">
        <v>0</v>
      </c>
      <c r="G6" s="23"/>
      <c r="M6" s="21">
        <f>M5+0.19</f>
        <v>3.83</v>
      </c>
      <c r="N6" t="s">
        <v>0</v>
      </c>
      <c r="S6" s="23"/>
    </row>
    <row r="7" spans="1:19" ht="15">
      <c r="A7" s="20">
        <f>'Input Page'!A7</f>
        <v>5.7</v>
      </c>
      <c r="B7" t="s">
        <v>68</v>
      </c>
      <c r="G7" s="22"/>
      <c r="M7" s="21">
        <f>'Input Page'!A12</f>
        <v>5.75</v>
      </c>
      <c r="N7" t="s">
        <v>68</v>
      </c>
      <c r="S7" s="22"/>
    </row>
    <row r="8" spans="1:19" ht="15">
      <c r="A8" s="1">
        <f>A4+A5+A7</f>
        <v>12.54</v>
      </c>
      <c r="B8" t="s">
        <v>29</v>
      </c>
      <c r="G8" s="3"/>
      <c r="M8" s="1">
        <f>M4+M5+M7</f>
        <v>14.18</v>
      </c>
      <c r="N8" t="s">
        <v>29</v>
      </c>
      <c r="S8" s="3"/>
    </row>
    <row r="9" spans="1:14" ht="15">
      <c r="A9" s="1">
        <f>A8-A4</f>
        <v>8.799999999999999</v>
      </c>
      <c r="B9" s="20" t="s">
        <v>94</v>
      </c>
      <c r="M9" s="1">
        <f>M8-M4</f>
        <v>9.39</v>
      </c>
      <c r="N9" s="20" t="s">
        <v>94</v>
      </c>
    </row>
    <row r="10" spans="1:14" ht="15">
      <c r="A10" s="5">
        <f>A4-(A6*'Input Page'!$A$30)</f>
        <v>0.21311999999999998</v>
      </c>
      <c r="B10" t="s">
        <v>28</v>
      </c>
      <c r="M10" s="5">
        <f>M4-(M6*'Input Page'!$A$30)</f>
        <v>0.68424</v>
      </c>
      <c r="N10" t="s">
        <v>28</v>
      </c>
    </row>
    <row r="11" spans="1:14" ht="15">
      <c r="A11" s="6">
        <f>A10/A14</f>
        <v>0.4735999999999999</v>
      </c>
      <c r="B11" t="s">
        <v>31</v>
      </c>
      <c r="M11" s="6">
        <f>M10/M14</f>
        <v>1.5205333333333333</v>
      </c>
      <c r="N11" t="s">
        <v>31</v>
      </c>
    </row>
    <row r="12" spans="1:13" ht="15">
      <c r="A12" s="6"/>
      <c r="M12" s="6"/>
    </row>
    <row r="13" spans="1:13" ht="15">
      <c r="A13" s="2" t="s">
        <v>1</v>
      </c>
      <c r="M13" s="2" t="s">
        <v>1</v>
      </c>
    </row>
    <row r="14" spans="1:14" ht="15">
      <c r="A14" s="22">
        <f>'Input Page'!$A$15</f>
        <v>0.45</v>
      </c>
      <c r="B14" t="s">
        <v>2</v>
      </c>
      <c r="M14" s="22">
        <f>'Input Page'!$A$15</f>
        <v>0.45</v>
      </c>
      <c r="N14" t="s">
        <v>2</v>
      </c>
    </row>
    <row r="15" spans="1:14" ht="15">
      <c r="A15" s="8">
        <f>A11</f>
        <v>0.4735999999999999</v>
      </c>
      <c r="B15" t="s">
        <v>6</v>
      </c>
      <c r="M15" s="8">
        <f>M11</f>
        <v>1.5205333333333333</v>
      </c>
      <c r="N15" t="s">
        <v>6</v>
      </c>
    </row>
    <row r="16" spans="1:14" ht="15">
      <c r="A16" s="7">
        <f>A10</f>
        <v>0.21311999999999998</v>
      </c>
      <c r="B16" t="s">
        <v>5</v>
      </c>
      <c r="M16" s="7">
        <f>M10</f>
        <v>0.68424</v>
      </c>
      <c r="N16" t="s">
        <v>5</v>
      </c>
    </row>
    <row r="17" spans="1:14" ht="15">
      <c r="A17" s="1">
        <f>(A15-A16)*(A5/(A3-A4))</f>
        <v>0.008388614169956366</v>
      </c>
      <c r="B17" t="s">
        <v>7</v>
      </c>
      <c r="M17" s="1">
        <f>(M15-M16)*(M5/(M3-M4))</f>
        <v>0.031972563106116306</v>
      </c>
      <c r="N17" t="s">
        <v>7</v>
      </c>
    </row>
    <row r="18" spans="1:14" ht="15">
      <c r="A18" s="1">
        <f>(A15-A16)*(A6/(A3-A4))</f>
        <v>0.008902755038437562</v>
      </c>
      <c r="B18" t="s">
        <v>8</v>
      </c>
      <c r="M18" s="1">
        <f>(M15-M16)*(M6/(M3-M4))</f>
        <v>0.03364146063088612</v>
      </c>
      <c r="N18" t="s">
        <v>8</v>
      </c>
    </row>
    <row r="19" spans="1:14" ht="15">
      <c r="A19" s="1">
        <f>(A15-A16)*(A9/(A3-A4))</f>
        <v>0.02381284022439226</v>
      </c>
      <c r="B19" s="20" t="s">
        <v>95</v>
      </c>
      <c r="M19" s="1">
        <f>(M15-M16)*(M9/(M3-M4))</f>
        <v>0.08247867240836049</v>
      </c>
      <c r="N19" s="20" t="s">
        <v>95</v>
      </c>
    </row>
    <row r="20" spans="1:14" ht="15">
      <c r="A20" s="1"/>
      <c r="B20" s="20"/>
      <c r="M20" s="1"/>
      <c r="N20" s="20"/>
    </row>
    <row r="21" spans="1:14" ht="15">
      <c r="A21" s="42" t="s">
        <v>99</v>
      </c>
      <c r="B21" s="20"/>
      <c r="M21" s="42" t="s">
        <v>99</v>
      </c>
      <c r="N21" s="20"/>
    </row>
    <row r="22" spans="1:14" ht="15">
      <c r="A22" s="1">
        <f>A15*'Input Page'!$A$18</f>
        <v>0.5735296</v>
      </c>
      <c r="B22" s="20" t="s">
        <v>101</v>
      </c>
      <c r="M22" s="1">
        <f>M15*'Input Page'!$A$18</f>
        <v>1.8413658666666668</v>
      </c>
      <c r="N22" s="20" t="s">
        <v>101</v>
      </c>
    </row>
    <row r="24" spans="1:13" ht="15">
      <c r="A24" s="2" t="s">
        <v>30</v>
      </c>
      <c r="M24" s="2" t="s">
        <v>30</v>
      </c>
    </row>
    <row r="25" spans="1:14" ht="15">
      <c r="A25" s="7">
        <f>A3-A15</f>
        <v>99.5264</v>
      </c>
      <c r="B25" t="s">
        <v>9</v>
      </c>
      <c r="M25" s="7">
        <f>M3-M15</f>
        <v>98.47946666666667</v>
      </c>
      <c r="N25" t="s">
        <v>9</v>
      </c>
    </row>
    <row r="26" spans="1:14" ht="15">
      <c r="A26" s="7">
        <f>A4-A16</f>
        <v>3.5268800000000002</v>
      </c>
      <c r="B26" t="s">
        <v>5</v>
      </c>
      <c r="M26" s="7">
        <f>M4-M16</f>
        <v>4.10576</v>
      </c>
      <c r="N26" t="s">
        <v>5</v>
      </c>
    </row>
    <row r="27" spans="1:14" ht="15">
      <c r="A27" s="1">
        <f>A5-A17</f>
        <v>3.091611385830044</v>
      </c>
      <c r="B27" t="s">
        <v>7</v>
      </c>
      <c r="M27" s="1">
        <f>M5-M17</f>
        <v>3.6080274368938836</v>
      </c>
      <c r="N27" t="s">
        <v>7</v>
      </c>
    </row>
    <row r="28" spans="1:14" ht="15">
      <c r="A28" s="1">
        <f>A6-A18</f>
        <v>3.2810972449615625</v>
      </c>
      <c r="B28" t="s">
        <v>8</v>
      </c>
      <c r="M28" s="1">
        <f>M6-M18</f>
        <v>3.796358539369114</v>
      </c>
      <c r="N28" t="s">
        <v>8</v>
      </c>
    </row>
    <row r="29" spans="1:14" ht="15">
      <c r="A29" s="1">
        <f>A9-A19</f>
        <v>8.776187159775606</v>
      </c>
      <c r="B29" s="20" t="s">
        <v>104</v>
      </c>
      <c r="M29" s="1">
        <f>M9-M19</f>
        <v>9.30752132759164</v>
      </c>
      <c r="N29" s="20" t="s">
        <v>104</v>
      </c>
    </row>
    <row r="31" spans="1:20" ht="15">
      <c r="A31" s="2" t="s">
        <v>10</v>
      </c>
      <c r="H31" t="s">
        <v>15</v>
      </c>
      <c r="M31" s="2" t="s">
        <v>10</v>
      </c>
      <c r="T31" t="s">
        <v>15</v>
      </c>
    </row>
    <row r="32" spans="1:21" ht="15">
      <c r="A32" s="1">
        <f>A28/'Input Page'!$A$29</f>
        <v>13.12438897984625</v>
      </c>
      <c r="B32" t="s">
        <v>11</v>
      </c>
      <c r="H32" s="4">
        <f>A26/A32</f>
        <v>0.2687271769692182</v>
      </c>
      <c r="I32" t="s">
        <v>4</v>
      </c>
      <c r="M32" s="1">
        <f>M28/'Input Page'!$A$29</f>
        <v>15.185434157476456</v>
      </c>
      <c r="N32" t="s">
        <v>11</v>
      </c>
      <c r="T32" s="4">
        <f>M26/M32</f>
        <v>0.27037488407788157</v>
      </c>
      <c r="U32" t="s">
        <v>4</v>
      </c>
    </row>
    <row r="33" spans="1:21" ht="15">
      <c r="A33" s="1">
        <f>A32-A26-A29-(A32*'Input Page'!$A$24)</f>
        <v>0.38821698373571734</v>
      </c>
      <c r="B33" t="s">
        <v>12</v>
      </c>
      <c r="H33" s="4">
        <f>A28/(A29+A33)</f>
        <v>0.35802624956088164</v>
      </c>
      <c r="I33" t="s">
        <v>87</v>
      </c>
      <c r="M33" s="1">
        <f>M32-M26-M29-(M32*'Input Page'!A24)</f>
        <v>1.2710335026880921</v>
      </c>
      <c r="N33" t="s">
        <v>12</v>
      </c>
      <c r="T33" s="4">
        <f>M28/(M29+M33)</f>
        <v>0.358873078627199</v>
      </c>
      <c r="U33" t="s">
        <v>87</v>
      </c>
    </row>
    <row r="34" spans="1:21" ht="15">
      <c r="A34" s="19" t="s">
        <v>47</v>
      </c>
      <c r="B34" t="s">
        <v>46</v>
      </c>
      <c r="H34" s="7">
        <f>(A26+A29+A33)/(1-'Input Page'!$A$24)</f>
        <v>13.12438897984625</v>
      </c>
      <c r="I34" t="s">
        <v>13</v>
      </c>
      <c r="M34" s="19" t="s">
        <v>47</v>
      </c>
      <c r="N34" t="s">
        <v>46</v>
      </c>
      <c r="T34" s="7">
        <f>(M26+M29+M33)/(1-'Input Page'!$A$24)</f>
        <v>15.185434157476456</v>
      </c>
      <c r="U34" t="s">
        <v>13</v>
      </c>
    </row>
    <row r="35" spans="8:21" ht="15">
      <c r="H35" s="9">
        <f>A26/A28</f>
        <v>1.0749087078768729</v>
      </c>
      <c r="I35" t="s">
        <v>14</v>
      </c>
      <c r="T35" s="9">
        <f>M26/M28</f>
        <v>1.0814995363115263</v>
      </c>
      <c r="U35" t="s">
        <v>14</v>
      </c>
    </row>
    <row r="36" spans="1:13" ht="15">
      <c r="A36" s="2" t="s">
        <v>102</v>
      </c>
      <c r="M36" s="2" t="s">
        <v>102</v>
      </c>
    </row>
    <row r="37" spans="1:13" ht="15">
      <c r="A37" s="11" t="s">
        <v>23</v>
      </c>
      <c r="M37" s="11" t="s">
        <v>23</v>
      </c>
    </row>
    <row r="38" spans="2:17" ht="15">
      <c r="B38" s="10" t="s">
        <v>17</v>
      </c>
      <c r="C38" s="10" t="s">
        <v>19</v>
      </c>
      <c r="D38" s="10" t="s">
        <v>20</v>
      </c>
      <c r="E38" s="10" t="s">
        <v>21</v>
      </c>
      <c r="N38" s="10" t="s">
        <v>17</v>
      </c>
      <c r="O38" s="10" t="s">
        <v>19</v>
      </c>
      <c r="P38" s="10" t="s">
        <v>20</v>
      </c>
      <c r="Q38" s="10" t="s">
        <v>21</v>
      </c>
    </row>
    <row r="39" spans="2:17" ht="15">
      <c r="B39" t="s">
        <v>18</v>
      </c>
      <c r="C39" s="1">
        <f>A32</f>
        <v>13.12438897984625</v>
      </c>
      <c r="D39" s="14">
        <f>'Input Page'!$A$36</f>
        <v>1.8722</v>
      </c>
      <c r="E39" s="12">
        <f>C39*D39</f>
        <v>24.57148104806815</v>
      </c>
      <c r="N39" t="s">
        <v>18</v>
      </c>
      <c r="O39" s="1">
        <f>M32</f>
        <v>15.185434157476456</v>
      </c>
      <c r="P39" s="14">
        <f>'Input Page'!$A$36</f>
        <v>1.8722</v>
      </c>
      <c r="Q39" s="12">
        <f>O39*P39</f>
        <v>28.43016982962742</v>
      </c>
    </row>
    <row r="40" spans="2:17" ht="17.25">
      <c r="B40" t="s">
        <v>22</v>
      </c>
      <c r="C40" s="7">
        <f>A15</f>
        <v>0.4735999999999999</v>
      </c>
      <c r="D40" s="14">
        <f>'Input Page'!$A$15*'Input Page'!$A$39*'Input Page'!$A$40</f>
        <v>0.8348399999999999</v>
      </c>
      <c r="E40" s="15">
        <f>C40*D40</f>
        <v>0.3953802239999999</v>
      </c>
      <c r="N40" t="s">
        <v>22</v>
      </c>
      <c r="O40" s="7">
        <f>M15</f>
        <v>1.5205333333333333</v>
      </c>
      <c r="P40" s="14">
        <f>'Input Page'!$A$15*'Input Page'!$A$39*'Input Page'!$A$40</f>
        <v>0.8348399999999999</v>
      </c>
      <c r="Q40" s="15">
        <f>O40*P40</f>
        <v>1.269402048</v>
      </c>
    </row>
    <row r="41" spans="2:17" ht="15">
      <c r="B41" t="s">
        <v>21</v>
      </c>
      <c r="E41" s="13">
        <f>SUM(E39:E40)</f>
        <v>24.96686127206815</v>
      </c>
      <c r="N41" t="s">
        <v>21</v>
      </c>
      <c r="Q41" s="13">
        <f>SUM(Q39:Q40)</f>
        <v>29.69957187762742</v>
      </c>
    </row>
    <row r="43" spans="1:17" ht="15">
      <c r="A43" t="s">
        <v>24</v>
      </c>
      <c r="B43" s="10" t="s">
        <v>17</v>
      </c>
      <c r="C43" s="10" t="s">
        <v>19</v>
      </c>
      <c r="D43" s="10" t="s">
        <v>20</v>
      </c>
      <c r="E43" s="10" t="s">
        <v>21</v>
      </c>
      <c r="M43" t="s">
        <v>24</v>
      </c>
      <c r="N43" s="10" t="s">
        <v>17</v>
      </c>
      <c r="O43" s="10" t="s">
        <v>19</v>
      </c>
      <c r="P43" s="10" t="s">
        <v>20</v>
      </c>
      <c r="Q43" s="10" t="s">
        <v>21</v>
      </c>
    </row>
    <row r="44" spans="2:17" ht="15">
      <c r="B44" t="s">
        <v>39</v>
      </c>
      <c r="C44" s="1">
        <f>A9</f>
        <v>8.799999999999999</v>
      </c>
      <c r="D44" s="14">
        <f>'Input Page'!$A$37</f>
        <v>1.5349949999999999</v>
      </c>
      <c r="E44" s="13">
        <f>C44*D44</f>
        <v>13.507955999999997</v>
      </c>
      <c r="N44" t="s">
        <v>39</v>
      </c>
      <c r="O44" s="1">
        <f>M9</f>
        <v>9.39</v>
      </c>
      <c r="P44" s="14">
        <f>'Input Page'!$A$37</f>
        <v>1.5349949999999999</v>
      </c>
      <c r="Q44" s="13">
        <f>O44*P44</f>
        <v>14.413603049999999</v>
      </c>
    </row>
    <row r="45" spans="2:17" ht="15">
      <c r="B45" t="s">
        <v>25</v>
      </c>
      <c r="C45" s="1">
        <f>A4</f>
        <v>3.74</v>
      </c>
      <c r="D45" s="14">
        <f>'Input Page'!$A$38</f>
        <v>1.6645195000000002</v>
      </c>
      <c r="E45" s="13">
        <f>C45*D45</f>
        <v>6.225302930000001</v>
      </c>
      <c r="N45" t="s">
        <v>25</v>
      </c>
      <c r="O45" s="1">
        <f>M4</f>
        <v>4.79</v>
      </c>
      <c r="P45" s="14">
        <f>'Input Page'!$A$38</f>
        <v>1.6645195000000002</v>
      </c>
      <c r="Q45" s="13">
        <f>O45*P45</f>
        <v>7.973048405000001</v>
      </c>
    </row>
    <row r="46" spans="2:17" ht="17.25">
      <c r="B46" t="s">
        <v>48</v>
      </c>
      <c r="C46" s="1">
        <f>A33</f>
        <v>0.38821698373571734</v>
      </c>
      <c r="D46" s="14">
        <f>IF($A$34="L",'Input Page'!$A$42,'Input Page'!$A$43)</f>
        <v>0.6617</v>
      </c>
      <c r="E46" s="16">
        <f>C46*D46</f>
        <v>0.25688317813792416</v>
      </c>
      <c r="N46" t="s">
        <v>48</v>
      </c>
      <c r="O46" s="1">
        <f>M33</f>
        <v>1.2710335026880921</v>
      </c>
      <c r="P46" s="14">
        <f>IF(M34="L",'Input Page'!$A$42,'Input Page'!$A$43)</f>
        <v>0.6617</v>
      </c>
      <c r="Q46" s="16">
        <f>O46*P46</f>
        <v>0.8410428687287105</v>
      </c>
    </row>
    <row r="47" spans="2:17" ht="15">
      <c r="B47" t="s">
        <v>21</v>
      </c>
      <c r="E47" s="13">
        <f>SUM(E44:E46)</f>
        <v>19.990142108137924</v>
      </c>
      <c r="N47" t="s">
        <v>21</v>
      </c>
      <c r="Q47" s="13">
        <f>SUM(Q44:Q46)</f>
        <v>23.22769432372871</v>
      </c>
    </row>
    <row r="49" spans="1:17" ht="15">
      <c r="A49" t="s">
        <v>27</v>
      </c>
      <c r="E49" s="13">
        <f>E41-E47</f>
        <v>4.976719163930227</v>
      </c>
      <c r="M49" t="s">
        <v>27</v>
      </c>
      <c r="Q49" s="13">
        <f>Q41-Q47</f>
        <v>6.471877553898711</v>
      </c>
    </row>
    <row r="52" spans="1:13" ht="15">
      <c r="A52" s="2" t="s">
        <v>103</v>
      </c>
      <c r="M52" s="2" t="s">
        <v>103</v>
      </c>
    </row>
    <row r="53" spans="1:13" ht="15">
      <c r="A53" s="11" t="s">
        <v>23</v>
      </c>
      <c r="M53" s="11" t="s">
        <v>23</v>
      </c>
    </row>
    <row r="54" spans="2:17" ht="15">
      <c r="B54" s="39" t="s">
        <v>17</v>
      </c>
      <c r="C54" s="39" t="s">
        <v>19</v>
      </c>
      <c r="D54" s="39" t="s">
        <v>20</v>
      </c>
      <c r="E54" s="39" t="s">
        <v>21</v>
      </c>
      <c r="N54" s="39" t="s">
        <v>17</v>
      </c>
      <c r="O54" s="39" t="s">
        <v>19</v>
      </c>
      <c r="P54" s="39" t="s">
        <v>20</v>
      </c>
      <c r="Q54" s="39" t="s">
        <v>21</v>
      </c>
    </row>
    <row r="55" spans="2:17" ht="15">
      <c r="B55" t="s">
        <v>18</v>
      </c>
      <c r="C55" s="1">
        <f>A32</f>
        <v>13.12438897984625</v>
      </c>
      <c r="D55" s="14">
        <f>'Input Page'!$A$36</f>
        <v>1.8722</v>
      </c>
      <c r="E55" s="12">
        <f>C55*D55</f>
        <v>24.57148104806815</v>
      </c>
      <c r="N55" t="s">
        <v>18</v>
      </c>
      <c r="O55" s="1">
        <f>M32</f>
        <v>15.185434157476456</v>
      </c>
      <c r="P55" s="14">
        <f>'Input Page'!$A$36</f>
        <v>1.8722</v>
      </c>
      <c r="Q55" s="12">
        <f>O55*P55</f>
        <v>28.43016982962742</v>
      </c>
    </row>
    <row r="56" spans="2:17" ht="17.25">
      <c r="B56" t="s">
        <v>99</v>
      </c>
      <c r="C56" s="7">
        <f>A22</f>
        <v>0.5735296</v>
      </c>
      <c r="D56" s="14">
        <f>'Input Page'!A39</f>
        <v>1.546</v>
      </c>
      <c r="E56" s="15">
        <f>C56*D56</f>
        <v>0.8866767616</v>
      </c>
      <c r="N56" t="s">
        <v>99</v>
      </c>
      <c r="O56" s="7">
        <f>M22</f>
        <v>1.8413658666666668</v>
      </c>
      <c r="P56" s="14">
        <f>'Input Page'!A39</f>
        <v>1.546</v>
      </c>
      <c r="Q56" s="15">
        <f>O56*P56</f>
        <v>2.846751629866667</v>
      </c>
    </row>
    <row r="57" spans="2:17" ht="15">
      <c r="B57" t="s">
        <v>21</v>
      </c>
      <c r="E57" s="13">
        <f>SUM(E55:E56)</f>
        <v>25.45815780966815</v>
      </c>
      <c r="N57" t="s">
        <v>21</v>
      </c>
      <c r="Q57" s="13">
        <f>SUM(Q55:Q56)</f>
        <v>31.276921459494087</v>
      </c>
    </row>
    <row r="59" spans="1:17" ht="15">
      <c r="A59" t="s">
        <v>24</v>
      </c>
      <c r="B59" s="39" t="s">
        <v>17</v>
      </c>
      <c r="C59" s="39" t="s">
        <v>19</v>
      </c>
      <c r="D59" s="39" t="s">
        <v>20</v>
      </c>
      <c r="E59" s="39" t="s">
        <v>21</v>
      </c>
      <c r="M59" t="s">
        <v>24</v>
      </c>
      <c r="N59" s="39" t="s">
        <v>17</v>
      </c>
      <c r="O59" s="39" t="s">
        <v>19</v>
      </c>
      <c r="P59" s="39" t="s">
        <v>20</v>
      </c>
      <c r="Q59" s="39" t="s">
        <v>21</v>
      </c>
    </row>
    <row r="60" spans="2:17" ht="15">
      <c r="B60" t="s">
        <v>39</v>
      </c>
      <c r="C60" s="1">
        <f>A9</f>
        <v>8.799999999999999</v>
      </c>
      <c r="D60" s="14">
        <f>'Input Page'!$A$37</f>
        <v>1.5349949999999999</v>
      </c>
      <c r="E60" s="13">
        <f>C60*D60</f>
        <v>13.507955999999997</v>
      </c>
      <c r="N60" t="s">
        <v>39</v>
      </c>
      <c r="O60" s="1">
        <f>M9</f>
        <v>9.39</v>
      </c>
      <c r="P60" s="14">
        <f>'Input Page'!$A$37</f>
        <v>1.5349949999999999</v>
      </c>
      <c r="Q60" s="13">
        <f>O60*P60</f>
        <v>14.413603049999999</v>
      </c>
    </row>
    <row r="61" spans="2:17" ht="15">
      <c r="B61" t="s">
        <v>25</v>
      </c>
      <c r="C61" s="1">
        <f>A4</f>
        <v>3.74</v>
      </c>
      <c r="D61" s="14">
        <f>'Input Page'!$A$38</f>
        <v>1.6645195000000002</v>
      </c>
      <c r="E61" s="13">
        <f>C61*D61</f>
        <v>6.225302930000001</v>
      </c>
      <c r="N61" t="s">
        <v>25</v>
      </c>
      <c r="O61" s="1">
        <f>M4</f>
        <v>4.79</v>
      </c>
      <c r="P61" s="14">
        <f>'Input Page'!$A$38</f>
        <v>1.6645195000000002</v>
      </c>
      <c r="Q61" s="13">
        <f>O61*P61</f>
        <v>7.973048405000001</v>
      </c>
    </row>
    <row r="62" spans="2:17" ht="17.25">
      <c r="B62" t="s">
        <v>48</v>
      </c>
      <c r="C62" s="1">
        <f>A33</f>
        <v>0.38821698373571734</v>
      </c>
      <c r="D62" s="14">
        <f>IF($A$34="L",'Input Page'!$A$42,'Input Page'!$A$43)</f>
        <v>0.6617</v>
      </c>
      <c r="E62" s="16">
        <f>C62*D62</f>
        <v>0.25688317813792416</v>
      </c>
      <c r="N62" t="s">
        <v>48</v>
      </c>
      <c r="O62" s="1">
        <f>M33</f>
        <v>1.2710335026880921</v>
      </c>
      <c r="P62" s="14">
        <f>IF($A$34="L",'Input Page'!$A$42,'Input Page'!$A$43)</f>
        <v>0.6617</v>
      </c>
      <c r="Q62" s="16">
        <f>O62*P62</f>
        <v>0.8410428687287105</v>
      </c>
    </row>
    <row r="63" spans="2:17" ht="15">
      <c r="B63" t="s">
        <v>21</v>
      </c>
      <c r="E63" s="13">
        <f>SUM(E60:E62)</f>
        <v>19.990142108137924</v>
      </c>
      <c r="N63" t="s">
        <v>21</v>
      </c>
      <c r="Q63" s="13">
        <f>SUM(Q60:Q62)</f>
        <v>23.22769432372871</v>
      </c>
    </row>
    <row r="65" spans="1:17" ht="15">
      <c r="A65" t="s">
        <v>27</v>
      </c>
      <c r="E65" s="13">
        <f>E57-E63</f>
        <v>5.468015701530227</v>
      </c>
      <c r="M65" t="s">
        <v>27</v>
      </c>
      <c r="Q65" s="13">
        <f>Q57-Q63</f>
        <v>8.049227135765378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Metzger</dc:creator>
  <cp:keywords/>
  <dc:description/>
  <cp:lastModifiedBy>Cherie L. Bayer</cp:lastModifiedBy>
  <cp:lastPrinted>2014-05-16T17:29:44Z</cp:lastPrinted>
  <dcterms:created xsi:type="dcterms:W3CDTF">2014-04-07T18:05:14Z</dcterms:created>
  <dcterms:modified xsi:type="dcterms:W3CDTF">2014-06-05T16:41:46Z</dcterms:modified>
  <cp:category/>
  <cp:version/>
  <cp:contentType/>
  <cp:contentStatus/>
</cp:coreProperties>
</file>